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codeName="ThisWorkbook" defaultThemeVersion="166925"/>
  <mc:AlternateContent xmlns:mc="http://schemas.openxmlformats.org/markup-compatibility/2006">
    <mc:Choice Requires="x15">
      <x15ac:absPath xmlns:x15ac="http://schemas.microsoft.com/office/spreadsheetml/2010/11/ac" url="A:\Cooper_Creek_efforts\Projects\MS4_Retrofit-Bechtold_Park\Documents\Retrofit design\Project Screening &amp; Cursory Design Method\"/>
    </mc:Choice>
  </mc:AlternateContent>
  <xr:revisionPtr revIDLastSave="0" documentId="13_ncr:1_{85199C6C-9C86-493A-8337-AA1544D338C0}" xr6:coauthVersionLast="36" xr6:coauthVersionMax="36" xr10:uidLastSave="{00000000-0000-0000-0000-000000000000}"/>
  <workbookProtection workbookAlgorithmName="SHA-512" workbookHashValue="yZmFCB7olF4OQSvcHr1xCq38XGgwnTklH4zAXlDB39xVX+xKlpg6B4rs4f45RhoIe0Yzi4+UDWeVTwRtU4RCeg==" workbookSaltValue="m6c+mlBFZAC5tFm3UgbE2Q==" workbookSpinCount="100000" lockStructure="1"/>
  <bookViews>
    <workbookView xWindow="0" yWindow="0" windowWidth="24030" windowHeight="12360" tabRatio="867" xr2:uid="{50A78D7C-BF1C-4A7B-97CE-9D6930DED4B3}"/>
  </bookViews>
  <sheets>
    <sheet name="Cover Sheet" sheetId="20" r:id="rId1"/>
    <sheet name="Flap Gate - Inputs and Outputs" sheetId="1" r:id="rId2"/>
    <sheet name="Flap Gate Chart 1" sheetId="12" r:id="rId3"/>
    <sheet name="Flap Gate Chart 2" sheetId="13" r:id="rId4"/>
    <sheet name="Riser Inputs and Outputs" sheetId="33" r:id="rId5"/>
    <sheet name="SEPARATOR - Calcs" sheetId="31" state="hidden" r:id="rId6"/>
    <sheet name="Segment Flow" sheetId="2" state="hidden" r:id="rId7"/>
    <sheet name="Mannnings" sheetId="10" state="hidden" r:id="rId8"/>
    <sheet name="Static Force" sheetId="3" state="hidden" r:id="rId9"/>
    <sheet name="Angle of Opening" sheetId="5" state="hidden" r:id="rId10"/>
    <sheet name="Full Pipe Flow" sheetId="7" state="hidden" r:id="rId11"/>
    <sheet name="Angle to Area" sheetId="4" state="hidden" r:id="rId12"/>
    <sheet name="SEPARATOR" sheetId="21" state="hidden" r:id="rId13"/>
    <sheet name="Data Table Input" sheetId="11" state="hidden" r:id="rId14"/>
    <sheet name="Data Table Segment Flow (2)" sheetId="14" state="hidden" r:id="rId15"/>
    <sheet name="Data Table Mannings (2)" sheetId="15" state="hidden" r:id="rId16"/>
    <sheet name="Data Table Static Force (2)" sheetId="16" state="hidden" r:id="rId17"/>
    <sheet name="Data Table Angle of Opening (2)" sheetId="17" state="hidden" r:id="rId18"/>
    <sheet name="Data Table Full Pipe Flow (2)" sheetId="18" state="hidden" r:id="rId19"/>
    <sheet name="Data Table Angle to Area (2)" sheetId="19" state="hidden" r:id="rId20"/>
    <sheet name="SEPARATOR - BOX" sheetId="22" state="hidden" r:id="rId21"/>
    <sheet name="Box - Lower Orifice" sheetId="34" state="hidden" r:id="rId22"/>
    <sheet name="Box - Upper Orifice" sheetId="35" state="hidden" r:id="rId23"/>
    <sheet name="Box - Mannnings" sheetId="36" state="hidden" r:id="rId24"/>
    <sheet name="Box - Static Force" sheetId="37" state="hidden" r:id="rId25"/>
    <sheet name="Box - Angle of Opening" sheetId="38" state="hidden" r:id="rId26"/>
    <sheet name="Box - Full Pipe Flow" sheetId="39" state="hidden" r:id="rId27"/>
    <sheet name="Box - Angle to Area" sheetId="40" state="hidden" r:id="rId28"/>
    <sheet name="SEPARATOR-Data Table" sheetId="41" state="hidden" r:id="rId29"/>
    <sheet name="Data Tab Box - Input and Output" sheetId="42" state="hidden" r:id="rId30"/>
    <sheet name="Data TabBox - Lower Orifice" sheetId="43" state="hidden" r:id="rId31"/>
    <sheet name="Date TabBox - Upper Orifice" sheetId="44" state="hidden" r:id="rId32"/>
    <sheet name="Data Table Box - Mannnings" sheetId="45" state="hidden" r:id="rId33"/>
    <sheet name="Data Table Box - Static Force" sheetId="46" state="hidden" r:id="rId34"/>
    <sheet name="Data TablBox - Angle of Opening" sheetId="47" state="hidden" r:id="rId35"/>
    <sheet name="Data TableBox - Full Pipe Flow)" sheetId="48" state="hidden" r:id="rId36"/>
    <sheet name="Data Table Box - Angle to Area" sheetId="49" state="hidden" r:id="rId37"/>
  </sheets>
  <definedNames>
    <definedName name="_Toc47894747" localSheetId="0">'Cover Sheet'!$A$46</definedName>
    <definedName name="_Toc47894748" localSheetId="0">'Cover Sheet'!$A$53</definedName>
    <definedName name="solver_adj" localSheetId="29" hidden="1">'Data Tab Box - Input and Output'!$D$7</definedName>
    <definedName name="solver_adj" localSheetId="13" hidden="1">'Data Table Input'!$D$7</definedName>
    <definedName name="solver_adj" localSheetId="1" hidden="1">'Flap Gate - Inputs and Outputs'!$D$7</definedName>
    <definedName name="solver_adj" localSheetId="4" hidden="1">'Riser Inputs and Outputs'!$D$7</definedName>
    <definedName name="solver_cvg" localSheetId="29" hidden="1">0.0001</definedName>
    <definedName name="solver_cvg" localSheetId="13" hidden="1">0.0001</definedName>
    <definedName name="solver_cvg" localSheetId="1" hidden="1">0.0001</definedName>
    <definedName name="solver_cvg" localSheetId="4" hidden="1">0.0001</definedName>
    <definedName name="solver_drv" localSheetId="29" hidden="1">1</definedName>
    <definedName name="solver_drv" localSheetId="13" hidden="1">1</definedName>
    <definedName name="solver_drv" localSheetId="1" hidden="1">1</definedName>
    <definedName name="solver_drv" localSheetId="4" hidden="1">1</definedName>
    <definedName name="solver_eng" localSheetId="29" hidden="1">1</definedName>
    <definedName name="solver_eng" localSheetId="13" hidden="1">1</definedName>
    <definedName name="solver_eng" localSheetId="1" hidden="1">1</definedName>
    <definedName name="solver_eng" localSheetId="4" hidden="1">1</definedName>
    <definedName name="solver_est" localSheetId="29" hidden="1">1</definedName>
    <definedName name="solver_est" localSheetId="13" hidden="1">1</definedName>
    <definedName name="solver_est" localSheetId="1" hidden="1">1</definedName>
    <definedName name="solver_est" localSheetId="4" hidden="1">1</definedName>
    <definedName name="solver_itr" localSheetId="29" hidden="1">2147483647</definedName>
    <definedName name="solver_itr" localSheetId="13" hidden="1">2147483647</definedName>
    <definedName name="solver_itr" localSheetId="1" hidden="1">2147483647</definedName>
    <definedName name="solver_itr" localSheetId="4" hidden="1">2147483647</definedName>
    <definedName name="solver_lhs1" localSheetId="29" hidden="1">'Data Tab Box - Input and Output'!$D$7</definedName>
    <definedName name="solver_lhs1" localSheetId="13" hidden="1">'Data Table Input'!$D$7</definedName>
    <definedName name="solver_lhs1" localSheetId="1" hidden="1">'Flap Gate - Inputs and Outputs'!$D$7</definedName>
    <definedName name="solver_lhs1" localSheetId="4" hidden="1">'Riser Inputs and Outputs'!$D$7</definedName>
    <definedName name="solver_mip" localSheetId="29" hidden="1">2147483647</definedName>
    <definedName name="solver_mip" localSheetId="13" hidden="1">2147483647</definedName>
    <definedName name="solver_mip" localSheetId="1" hidden="1">2147483647</definedName>
    <definedName name="solver_mip" localSheetId="4" hidden="1">2147483647</definedName>
    <definedName name="solver_mni" localSheetId="29" hidden="1">30</definedName>
    <definedName name="solver_mni" localSheetId="13" hidden="1">30</definedName>
    <definedName name="solver_mni" localSheetId="1" hidden="1">30</definedName>
    <definedName name="solver_mni" localSheetId="4" hidden="1">30</definedName>
    <definedName name="solver_mrt" localSheetId="29" hidden="1">0.075</definedName>
    <definedName name="solver_mrt" localSheetId="13" hidden="1">0.075</definedName>
    <definedName name="solver_mrt" localSheetId="1" hidden="1">0.075</definedName>
    <definedName name="solver_mrt" localSheetId="4" hidden="1">0.075</definedName>
    <definedName name="solver_msl" localSheetId="29" hidden="1">2</definedName>
    <definedName name="solver_msl" localSheetId="13" hidden="1">2</definedName>
    <definedName name="solver_msl" localSheetId="1" hidden="1">2</definedName>
    <definedName name="solver_msl" localSheetId="4" hidden="1">2</definedName>
    <definedName name="solver_neg" localSheetId="29" hidden="1">1</definedName>
    <definedName name="solver_neg" localSheetId="13" hidden="1">1</definedName>
    <definedName name="solver_neg" localSheetId="1" hidden="1">1</definedName>
    <definedName name="solver_neg" localSheetId="4" hidden="1">1</definedName>
    <definedName name="solver_nod" localSheetId="29" hidden="1">2147483647</definedName>
    <definedName name="solver_nod" localSheetId="13" hidden="1">2147483647</definedName>
    <definedName name="solver_nod" localSheetId="1" hidden="1">2147483647</definedName>
    <definedName name="solver_nod" localSheetId="4" hidden="1">2147483647</definedName>
    <definedName name="solver_num" localSheetId="29" hidden="1">1</definedName>
    <definedName name="solver_num" localSheetId="13" hidden="1">1</definedName>
    <definedName name="solver_num" localSheetId="1" hidden="1">1</definedName>
    <definedName name="solver_num" localSheetId="4" hidden="1">1</definedName>
    <definedName name="solver_nwt" localSheetId="29" hidden="1">1</definedName>
    <definedName name="solver_nwt" localSheetId="13" hidden="1">1</definedName>
    <definedName name="solver_nwt" localSheetId="1" hidden="1">1</definedName>
    <definedName name="solver_nwt" localSheetId="4" hidden="1">1</definedName>
    <definedName name="solver_opt" localSheetId="29" hidden="1">'Data Tab Box - Input and Output'!$H$38</definedName>
    <definedName name="solver_opt" localSheetId="13" hidden="1">'Data Table Input'!$H$32</definedName>
    <definedName name="solver_opt" localSheetId="1" hidden="1">'Flap Gate - Inputs and Outputs'!#REF!</definedName>
    <definedName name="solver_opt" localSheetId="4" hidden="1">'Riser Inputs and Outputs'!$H$36</definedName>
    <definedName name="solver_pre" localSheetId="29" hidden="1">0.000001</definedName>
    <definedName name="solver_pre" localSheetId="13" hidden="1">0.000001</definedName>
    <definedName name="solver_pre" localSheetId="1" hidden="1">0.000001</definedName>
    <definedName name="solver_pre" localSheetId="4" hidden="1">0.000001</definedName>
    <definedName name="solver_rbv" localSheetId="29" hidden="1">1</definedName>
    <definedName name="solver_rbv" localSheetId="13" hidden="1">1</definedName>
    <definedName name="solver_rbv" localSheetId="1" hidden="1">1</definedName>
    <definedName name="solver_rbv" localSheetId="4" hidden="1">1</definedName>
    <definedName name="solver_rel1" localSheetId="29" hidden="1">3</definedName>
    <definedName name="solver_rel1" localSheetId="13" hidden="1">3</definedName>
    <definedName name="solver_rel1" localSheetId="1" hidden="1">3</definedName>
    <definedName name="solver_rel1" localSheetId="4" hidden="1">3</definedName>
    <definedName name="solver_rhs1" localSheetId="29" hidden="1">0</definedName>
    <definedName name="solver_rhs1" localSheetId="13" hidden="1">0</definedName>
    <definedName name="solver_rhs1" localSheetId="1" hidden="1">0</definedName>
    <definedName name="solver_rhs1" localSheetId="4" hidden="1">0</definedName>
    <definedName name="solver_rlx" localSheetId="29" hidden="1">2</definedName>
    <definedName name="solver_rlx" localSheetId="13" hidden="1">2</definedName>
    <definedName name="solver_rlx" localSheetId="1" hidden="1">2</definedName>
    <definedName name="solver_rlx" localSheetId="4" hidden="1">2</definedName>
    <definedName name="solver_rsd" localSheetId="29" hidden="1">0</definedName>
    <definedName name="solver_rsd" localSheetId="13" hidden="1">0</definedName>
    <definedName name="solver_rsd" localSheetId="1" hidden="1">0</definedName>
    <definedName name="solver_rsd" localSheetId="4" hidden="1">0</definedName>
    <definedName name="solver_scl" localSheetId="29" hidden="1">1</definedName>
    <definedName name="solver_scl" localSheetId="13" hidden="1">1</definedName>
    <definedName name="solver_scl" localSheetId="1" hidden="1">1</definedName>
    <definedName name="solver_scl" localSheetId="4" hidden="1">1</definedName>
    <definedName name="solver_sho" localSheetId="29" hidden="1">2</definedName>
    <definedName name="solver_sho" localSheetId="13" hidden="1">2</definedName>
    <definedName name="solver_sho" localSheetId="1" hidden="1">2</definedName>
    <definedName name="solver_sho" localSheetId="4" hidden="1">2</definedName>
    <definedName name="solver_ssz" localSheetId="29" hidden="1">100</definedName>
    <definedName name="solver_ssz" localSheetId="13" hidden="1">100</definedName>
    <definedName name="solver_ssz" localSheetId="1" hidden="1">100</definedName>
    <definedName name="solver_ssz" localSheetId="4" hidden="1">100</definedName>
    <definedName name="solver_tim" localSheetId="29" hidden="1">2147483647</definedName>
    <definedName name="solver_tim" localSheetId="13" hidden="1">2147483647</definedName>
    <definedName name="solver_tim" localSheetId="1" hidden="1">2147483647</definedName>
    <definedName name="solver_tim" localSheetId="4" hidden="1">2147483647</definedName>
    <definedName name="solver_tol" localSheetId="29" hidden="1">0.01</definedName>
    <definedName name="solver_tol" localSheetId="13" hidden="1">0.01</definedName>
    <definedName name="solver_tol" localSheetId="1" hidden="1">0.01</definedName>
    <definedName name="solver_tol" localSheetId="4" hidden="1">0.01</definedName>
    <definedName name="solver_typ" localSheetId="29" hidden="1">3</definedName>
    <definedName name="solver_typ" localSheetId="13" hidden="1">3</definedName>
    <definedName name="solver_typ" localSheetId="1" hidden="1">3</definedName>
    <definedName name="solver_typ" localSheetId="4" hidden="1">3</definedName>
    <definedName name="solver_val" localSheetId="29" hidden="1">0</definedName>
    <definedName name="solver_val" localSheetId="13" hidden="1">0</definedName>
    <definedName name="solver_val" localSheetId="1" hidden="1">0</definedName>
    <definedName name="solver_val" localSheetId="4" hidden="1">0</definedName>
    <definedName name="solver_ver" localSheetId="29" hidden="1">3</definedName>
    <definedName name="solver_ver" localSheetId="13" hidden="1">3</definedName>
    <definedName name="solver_ver" localSheetId="1" hidden="1">3</definedName>
    <definedName name="solver_ver" localSheetId="4" hidden="1">3</definedName>
    <definedName name="Z_1D60C250_5BA7_4656_AE3F_E7C2DB86BF7F_.wvu.Rows" localSheetId="29" hidden="1">'Data Tab Box - Input and Output'!$15:$18,'Data Tab Box - Input and Output'!$32:$39,'Data Tab Box - Input and Output'!$41:$48</definedName>
    <definedName name="Z_1D60C250_5BA7_4656_AE3F_E7C2DB86BF7F_.wvu.Rows" localSheetId="4" hidden="1">'Riser Inputs and Outputs'!$15:$18,'Riser Inputs and Outputs'!$30:$37,'Riser Inputs and Outputs'!$39:$46</definedName>
    <definedName name="Z_55F1D54A_D667_4E3A_BB15_0B35BECB64A3_.wvu.Rows" localSheetId="29" hidden="1">'Data Tab Box - Input and Output'!$15:$18,'Data Tab Box - Input and Output'!$32:$39,'Data Tab Box - Input and Output'!$41:$48</definedName>
    <definedName name="Z_55F1D54A_D667_4E3A_BB15_0B35BECB64A3_.wvu.Rows" localSheetId="4" hidden="1">'Riser Inputs and Outputs'!$15:$18,'Riser Inputs and Outputs'!$30:$37,'Riser Inputs and Outputs'!$39:$46</definedName>
    <definedName name="Z_5F1FA3A7_2959_4CE5_A93C_0EC2016ABD17_.wvu.Rows" localSheetId="13" hidden="1">'Data Table Input'!$7:$7,'Data Table Input'!$22:$35</definedName>
    <definedName name="Z_69D25061_22BB_4069_9A58_30FF41B45BB4_.wvu.Rows" localSheetId="13" hidden="1">'Data Table Input'!$22:$35</definedName>
    <definedName name="Z_C8C28A16_3CAD_4F54_A986_B4BB76010774_.wvu.Rows" localSheetId="13" hidden="1">'Data Table Input'!$22:$35</definedName>
    <definedName name="Z_D7CC29B7_9901_40CA_BDFC_FE858F906E44_.wvu.Rows" localSheetId="13" hidden="1">'Data Table Input'!$22:$35</definedName>
  </definedNames>
  <calcPr calcId="191029"/>
  <customWorkbookViews>
    <customWorkbookView name="All Sheets" guid="{C8C28A16-3CAD-4F54-A986-B4BB76010774}" maximized="1" xWindow="-11" yWindow="-11" windowWidth="1942" windowHeight="1042" tabRatio="867" activeSheetId="20"/>
    <customWorkbookView name="Hide Sheets" guid="{69D25061-22BB-4069-9A58-30FF41B45BB4}" maximized="1" xWindow="-11" yWindow="-11" windowWidth="1942" windowHeight="1042" tabRatio="867" activeSheetId="2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9" l="1"/>
  <c r="B14" i="49" s="1"/>
  <c r="C23" i="48"/>
  <c r="C21" i="48"/>
  <c r="C11" i="48"/>
  <c r="G10" i="48"/>
  <c r="G11" i="48" s="1"/>
  <c r="C5" i="48"/>
  <c r="C19" i="48" s="1"/>
  <c r="C4" i="48"/>
  <c r="C3" i="48"/>
  <c r="C12" i="48" s="1"/>
  <c r="C6" i="47"/>
  <c r="C4" i="47"/>
  <c r="C3" i="47"/>
  <c r="B13" i="46"/>
  <c r="B7" i="46"/>
  <c r="B8" i="46" s="1"/>
  <c r="B5" i="46"/>
  <c r="B4" i="46"/>
  <c r="B3" i="46"/>
  <c r="B2" i="46"/>
  <c r="B1" i="46"/>
  <c r="D35" i="45"/>
  <c r="K34" i="45"/>
  <c r="J34" i="45"/>
  <c r="I34" i="45"/>
  <c r="H34" i="45"/>
  <c r="G34" i="45"/>
  <c r="F34" i="45"/>
  <c r="E34" i="45"/>
  <c r="C31" i="45"/>
  <c r="L27" i="45"/>
  <c r="L28" i="45" s="1"/>
  <c r="C6" i="45"/>
  <c r="L44" i="44"/>
  <c r="C36" i="44"/>
  <c r="L34" i="44"/>
  <c r="L33" i="44"/>
  <c r="AB372" i="43"/>
  <c r="AC372" i="43" s="1"/>
  <c r="Z372" i="43"/>
  <c r="AB371" i="43"/>
  <c r="AC371" i="43" s="1"/>
  <c r="Z371" i="43"/>
  <c r="AC370" i="43"/>
  <c r="AB370" i="43"/>
  <c r="Z370" i="43"/>
  <c r="AB369" i="43"/>
  <c r="Z369" i="43" s="1"/>
  <c r="AB368" i="43"/>
  <c r="AC368" i="43" s="1"/>
  <c r="Z368" i="43"/>
  <c r="AB367" i="43"/>
  <c r="AC367" i="43" s="1"/>
  <c r="AC366" i="43"/>
  <c r="AB366" i="43"/>
  <c r="Z366" i="43"/>
  <c r="AB365" i="43"/>
  <c r="Z365" i="43" s="1"/>
  <c r="AC364" i="43"/>
  <c r="AB364" i="43"/>
  <c r="Z364" i="43"/>
  <c r="AB363" i="43"/>
  <c r="AC363" i="43" s="1"/>
  <c r="AC362" i="43"/>
  <c r="AB362" i="43"/>
  <c r="Z362" i="43"/>
  <c r="AB361" i="43"/>
  <c r="Z361" i="43" s="1"/>
  <c r="AC360" i="43"/>
  <c r="AB360" i="43"/>
  <c r="Z360" i="43"/>
  <c r="AB359" i="43"/>
  <c r="AC359" i="43" s="1"/>
  <c r="AC358" i="43"/>
  <c r="AB358" i="43"/>
  <c r="Z358" i="43"/>
  <c r="AB357" i="43"/>
  <c r="Z357" i="43" s="1"/>
  <c r="AC356" i="43"/>
  <c r="AB356" i="43"/>
  <c r="Z356" i="43"/>
  <c r="AB355" i="43"/>
  <c r="AC355" i="43" s="1"/>
  <c r="AC354" i="43"/>
  <c r="AB354" i="43"/>
  <c r="Z354" i="43"/>
  <c r="AB353" i="43"/>
  <c r="Z353" i="43" s="1"/>
  <c r="AC352" i="43"/>
  <c r="AB352" i="43"/>
  <c r="Z352" i="43"/>
  <c r="AB351" i="43"/>
  <c r="AC351" i="43" s="1"/>
  <c r="AC350" i="43"/>
  <c r="AB350" i="43"/>
  <c r="Z350" i="43"/>
  <c r="AB349" i="43"/>
  <c r="Z349" i="43" s="1"/>
  <c r="AC348" i="43"/>
  <c r="AB348" i="43"/>
  <c r="Z348" i="43"/>
  <c r="AB347" i="43"/>
  <c r="AC347" i="43" s="1"/>
  <c r="AC346" i="43"/>
  <c r="AB346" i="43"/>
  <c r="Z346" i="43"/>
  <c r="AB345" i="43"/>
  <c r="Z345" i="43" s="1"/>
  <c r="AC344" i="43"/>
  <c r="AB344" i="43"/>
  <c r="Z344" i="43"/>
  <c r="AB343" i="43"/>
  <c r="AC343" i="43" s="1"/>
  <c r="AC342" i="43"/>
  <c r="AB342" i="43"/>
  <c r="Z342" i="43"/>
  <c r="AB341" i="43"/>
  <c r="Z341" i="43" s="1"/>
  <c r="AC340" i="43"/>
  <c r="AB340" i="43"/>
  <c r="Z340" i="43"/>
  <c r="AB339" i="43"/>
  <c r="AC339" i="43" s="1"/>
  <c r="AC338" i="43"/>
  <c r="AB338" i="43"/>
  <c r="Z338" i="43"/>
  <c r="AB337" i="43"/>
  <c r="Z337" i="43" s="1"/>
  <c r="AC336" i="43"/>
  <c r="AB336" i="43"/>
  <c r="Z336" i="43"/>
  <c r="AB335" i="43"/>
  <c r="AC335" i="43" s="1"/>
  <c r="AC334" i="43"/>
  <c r="AB334" i="43"/>
  <c r="Z334" i="43"/>
  <c r="AB333" i="43"/>
  <c r="Z333" i="43" s="1"/>
  <c r="AC332" i="43"/>
  <c r="AB332" i="43"/>
  <c r="Z332" i="43"/>
  <c r="AB331" i="43"/>
  <c r="AC331" i="43" s="1"/>
  <c r="AC330" i="43"/>
  <c r="AB330" i="43"/>
  <c r="Z330" i="43"/>
  <c r="AB329" i="43"/>
  <c r="Z329" i="43" s="1"/>
  <c r="AC328" i="43"/>
  <c r="AB328" i="43"/>
  <c r="Z328" i="43"/>
  <c r="AB327" i="43"/>
  <c r="AC327" i="43" s="1"/>
  <c r="AC326" i="43"/>
  <c r="AB326" i="43"/>
  <c r="Z326" i="43"/>
  <c r="AB325" i="43"/>
  <c r="Z325" i="43" s="1"/>
  <c r="AC324" i="43"/>
  <c r="AB324" i="43"/>
  <c r="Z324" i="43"/>
  <c r="AB323" i="43"/>
  <c r="AC323" i="43" s="1"/>
  <c r="AC322" i="43"/>
  <c r="AB322" i="43"/>
  <c r="Z322" i="43"/>
  <c r="AB321" i="43"/>
  <c r="Z321" i="43" s="1"/>
  <c r="AC320" i="43"/>
  <c r="AB320" i="43"/>
  <c r="Z320" i="43"/>
  <c r="AB319" i="43"/>
  <c r="AC319" i="43" s="1"/>
  <c r="AC318" i="43"/>
  <c r="AB318" i="43"/>
  <c r="Z318" i="43"/>
  <c r="AB317" i="43"/>
  <c r="Z317" i="43" s="1"/>
  <c r="AC316" i="43"/>
  <c r="AB316" i="43"/>
  <c r="Z316" i="43"/>
  <c r="AB315" i="43"/>
  <c r="AC315" i="43" s="1"/>
  <c r="AC314" i="43"/>
  <c r="AB314" i="43"/>
  <c r="Z314" i="43"/>
  <c r="AB313" i="43"/>
  <c r="Z313" i="43" s="1"/>
  <c r="AC312" i="43"/>
  <c r="AB312" i="43"/>
  <c r="Z312" i="43"/>
  <c r="AB311" i="43"/>
  <c r="AC311" i="43" s="1"/>
  <c r="AC310" i="43"/>
  <c r="AB310" i="43"/>
  <c r="Z310" i="43"/>
  <c r="AB309" i="43"/>
  <c r="Z309" i="43" s="1"/>
  <c r="AC308" i="43"/>
  <c r="AB308" i="43"/>
  <c r="Z308" i="43"/>
  <c r="AB307" i="43"/>
  <c r="AC307" i="43" s="1"/>
  <c r="AC306" i="43"/>
  <c r="AB306" i="43"/>
  <c r="Z306" i="43"/>
  <c r="AB305" i="43"/>
  <c r="Z305" i="43" s="1"/>
  <c r="AC304" i="43"/>
  <c r="AB304" i="43"/>
  <c r="Z304" i="43"/>
  <c r="AB303" i="43"/>
  <c r="AC303" i="43" s="1"/>
  <c r="AC302" i="43"/>
  <c r="AB302" i="43"/>
  <c r="Z302" i="43"/>
  <c r="AB301" i="43"/>
  <c r="Z301" i="43" s="1"/>
  <c r="AC300" i="43"/>
  <c r="AB300" i="43"/>
  <c r="Z300" i="43"/>
  <c r="AB299" i="43"/>
  <c r="AC299" i="43" s="1"/>
  <c r="AC298" i="43"/>
  <c r="AB298" i="43"/>
  <c r="Z298" i="43"/>
  <c r="AB297" i="43"/>
  <c r="Z297" i="43" s="1"/>
  <c r="AC296" i="43"/>
  <c r="AB296" i="43"/>
  <c r="Z296" i="43"/>
  <c r="AB295" i="43"/>
  <c r="AC295" i="43" s="1"/>
  <c r="AC294" i="43"/>
  <c r="AB294" i="43"/>
  <c r="Z294" i="43"/>
  <c r="AB293" i="43"/>
  <c r="AC292" i="43"/>
  <c r="AB292" i="43"/>
  <c r="Z292" i="43"/>
  <c r="AB291" i="43"/>
  <c r="AC290" i="43"/>
  <c r="AB290" i="43"/>
  <c r="Z290" i="43"/>
  <c r="AB289" i="43"/>
  <c r="AC288" i="43"/>
  <c r="AB288" i="43"/>
  <c r="Z288" i="43"/>
  <c r="AB287" i="43"/>
  <c r="AC286" i="43"/>
  <c r="AB286" i="43"/>
  <c r="Z286" i="43"/>
  <c r="AB285" i="43"/>
  <c r="AC284" i="43"/>
  <c r="AB284" i="43"/>
  <c r="Z284" i="43"/>
  <c r="AB283" i="43"/>
  <c r="AC282" i="43"/>
  <c r="AB282" i="43"/>
  <c r="Z282" i="43"/>
  <c r="AB281" i="43"/>
  <c r="AC280" i="43"/>
  <c r="AB280" i="43"/>
  <c r="Z280" i="43"/>
  <c r="AB279" i="43"/>
  <c r="AC278" i="43"/>
  <c r="AB278" i="43"/>
  <c r="Z278" i="43"/>
  <c r="AB277" i="43"/>
  <c r="AC276" i="43"/>
  <c r="AB276" i="43"/>
  <c r="Z276" i="43"/>
  <c r="AB275" i="43"/>
  <c r="AC274" i="43"/>
  <c r="AB274" i="43"/>
  <c r="Z274" i="43"/>
  <c r="AB273" i="43"/>
  <c r="AC272" i="43"/>
  <c r="AB272" i="43"/>
  <c r="Z272" i="43"/>
  <c r="AB271" i="43"/>
  <c r="AC270" i="43"/>
  <c r="AB270" i="43"/>
  <c r="Z270" i="43"/>
  <c r="AB269" i="43"/>
  <c r="AC268" i="43"/>
  <c r="AB268" i="43"/>
  <c r="Z268" i="43"/>
  <c r="AB267" i="43"/>
  <c r="AC266" i="43"/>
  <c r="AB266" i="43"/>
  <c r="Z266" i="43"/>
  <c r="AB265" i="43"/>
  <c r="AC264" i="43"/>
  <c r="AB264" i="43"/>
  <c r="Z264" i="43"/>
  <c r="AB263" i="43"/>
  <c r="AC262" i="43"/>
  <c r="AB262" i="43"/>
  <c r="Z262" i="43"/>
  <c r="AB261" i="43"/>
  <c r="AC260" i="43"/>
  <c r="AB260" i="43"/>
  <c r="Z260" i="43"/>
  <c r="AB259" i="43"/>
  <c r="AC258" i="43"/>
  <c r="AB258" i="43"/>
  <c r="Z258" i="43"/>
  <c r="AB257" i="43"/>
  <c r="AC256" i="43"/>
  <c r="AB256" i="43"/>
  <c r="Z256" i="43"/>
  <c r="AB255" i="43"/>
  <c r="AC254" i="43"/>
  <c r="AB254" i="43"/>
  <c r="Z254" i="43"/>
  <c r="AB253" i="43"/>
  <c r="AC252" i="43"/>
  <c r="AB252" i="43"/>
  <c r="Z252" i="43"/>
  <c r="AB251" i="43"/>
  <c r="AB250" i="43"/>
  <c r="AC250" i="43" s="1"/>
  <c r="Z250" i="43"/>
  <c r="AC249" i="43"/>
  <c r="AB249" i="43"/>
  <c r="Z249" i="43"/>
  <c r="AC248" i="43"/>
  <c r="AB248" i="43"/>
  <c r="Z248" i="43" s="1"/>
  <c r="AC247" i="43"/>
  <c r="AB247" i="43"/>
  <c r="Z247" i="43" s="1"/>
  <c r="AB246" i="43"/>
  <c r="AC246" i="43" s="1"/>
  <c r="Z246" i="43"/>
  <c r="AC245" i="43"/>
  <c r="AB245" i="43"/>
  <c r="Z245" i="43"/>
  <c r="AC244" i="43"/>
  <c r="AB244" i="43"/>
  <c r="Z244" i="43" s="1"/>
  <c r="AB243" i="43"/>
  <c r="Z243" i="43" s="1"/>
  <c r="AB242" i="43"/>
  <c r="AC242" i="43" s="1"/>
  <c r="Z242" i="43"/>
  <c r="AC241" i="43"/>
  <c r="AB241" i="43"/>
  <c r="Z241" i="43"/>
  <c r="AC240" i="43"/>
  <c r="AB240" i="43"/>
  <c r="Z240" i="43" s="1"/>
  <c r="AB239" i="43"/>
  <c r="AB238" i="43"/>
  <c r="AC237" i="43"/>
  <c r="AB237" i="43"/>
  <c r="Z237" i="43"/>
  <c r="AC236" i="43"/>
  <c r="AB236" i="43"/>
  <c r="Z236" i="43" s="1"/>
  <c r="AC235" i="43"/>
  <c r="AB235" i="43"/>
  <c r="Z235" i="43" s="1"/>
  <c r="AB234" i="43"/>
  <c r="AC234" i="43" s="1"/>
  <c r="Z234" i="43"/>
  <c r="AC233" i="43"/>
  <c r="AB233" i="43"/>
  <c r="Z233" i="43"/>
  <c r="AC232" i="43"/>
  <c r="AB232" i="43"/>
  <c r="Z232" i="43" s="1"/>
  <c r="AC231" i="43"/>
  <c r="AB231" i="43"/>
  <c r="Z231" i="43" s="1"/>
  <c r="AB230" i="43"/>
  <c r="AC230" i="43" s="1"/>
  <c r="Z230" i="43"/>
  <c r="AC229" i="43"/>
  <c r="AB229" i="43"/>
  <c r="Z229" i="43"/>
  <c r="AC228" i="43"/>
  <c r="AB228" i="43"/>
  <c r="Z228" i="43" s="1"/>
  <c r="AB227" i="43"/>
  <c r="Z227" i="43" s="1"/>
  <c r="AB226" i="43"/>
  <c r="AC226" i="43" s="1"/>
  <c r="Z226" i="43"/>
  <c r="AC225" i="43"/>
  <c r="AB225" i="43"/>
  <c r="Z225" i="43"/>
  <c r="AC224" i="43"/>
  <c r="AB224" i="43"/>
  <c r="Z224" i="43" s="1"/>
  <c r="AB223" i="43"/>
  <c r="AB222" i="43"/>
  <c r="AC221" i="43"/>
  <c r="AB221" i="43"/>
  <c r="Z221" i="43"/>
  <c r="AC220" i="43"/>
  <c r="AB220" i="43"/>
  <c r="Z220" i="43" s="1"/>
  <c r="AB219" i="43"/>
  <c r="Z219" i="43" s="1"/>
  <c r="AB218" i="43"/>
  <c r="AC218" i="43" s="1"/>
  <c r="Z218" i="43"/>
  <c r="AC217" i="43"/>
  <c r="AB217" i="43"/>
  <c r="Z217" i="43"/>
  <c r="AC216" i="43"/>
  <c r="AB216" i="43"/>
  <c r="Z216" i="43" s="1"/>
  <c r="AC215" i="43"/>
  <c r="AB215" i="43"/>
  <c r="Z215" i="43" s="1"/>
  <c r="AB214" i="43"/>
  <c r="AC214" i="43" s="1"/>
  <c r="Z214" i="43"/>
  <c r="AC213" i="43"/>
  <c r="AB213" i="43"/>
  <c r="Z213" i="43"/>
  <c r="AC212" i="43"/>
  <c r="AB212" i="43"/>
  <c r="Z212" i="43" s="1"/>
  <c r="AB211" i="43"/>
  <c r="Z211" i="43" s="1"/>
  <c r="AB210" i="43"/>
  <c r="AC209" i="43"/>
  <c r="AB209" i="43"/>
  <c r="Z209" i="43"/>
  <c r="AC208" i="43"/>
  <c r="AB208" i="43"/>
  <c r="Z208" i="43" s="1"/>
  <c r="AB207" i="43"/>
  <c r="AB206" i="43"/>
  <c r="AC205" i="43"/>
  <c r="AB205" i="43"/>
  <c r="Z205" i="43"/>
  <c r="AC204" i="43"/>
  <c r="AB204" i="43"/>
  <c r="Z204" i="43" s="1"/>
  <c r="AB203" i="43"/>
  <c r="AB202" i="43"/>
  <c r="AC202" i="43" s="1"/>
  <c r="Z202" i="43"/>
  <c r="AC201" i="43"/>
  <c r="AB201" i="43"/>
  <c r="Z201" i="43"/>
  <c r="AC200" i="43"/>
  <c r="AB200" i="43"/>
  <c r="Z200" i="43" s="1"/>
  <c r="AC199" i="43"/>
  <c r="AB199" i="43"/>
  <c r="Z199" i="43" s="1"/>
  <c r="AB198" i="43"/>
  <c r="AC198" i="43" s="1"/>
  <c r="Z198" i="43"/>
  <c r="AC197" i="43"/>
  <c r="AB197" i="43"/>
  <c r="Z197" i="43"/>
  <c r="AC196" i="43"/>
  <c r="AB196" i="43"/>
  <c r="Z196" i="43" s="1"/>
  <c r="AB195" i="43"/>
  <c r="Z195" i="43" s="1"/>
  <c r="AB194" i="43"/>
  <c r="AC194" i="43" s="1"/>
  <c r="Z194" i="43"/>
  <c r="AC193" i="43"/>
  <c r="AB193" i="43"/>
  <c r="Z193" i="43"/>
  <c r="AC192" i="43"/>
  <c r="AB192" i="43"/>
  <c r="Z192" i="43" s="1"/>
  <c r="AB191" i="43"/>
  <c r="AB190" i="43"/>
  <c r="AC190" i="43" s="1"/>
  <c r="Z190" i="43"/>
  <c r="AC189" i="43"/>
  <c r="AB189" i="43"/>
  <c r="Z189" i="43"/>
  <c r="AB188" i="43"/>
  <c r="AC187" i="43"/>
  <c r="AB187" i="43"/>
  <c r="Z187" i="43" s="1"/>
  <c r="AB186" i="43"/>
  <c r="AC186" i="43" s="1"/>
  <c r="Z186" i="43"/>
  <c r="AC185" i="43"/>
  <c r="AB185" i="43"/>
  <c r="Z185" i="43"/>
  <c r="AC184" i="43"/>
  <c r="AB184" i="43"/>
  <c r="Z184" i="43" s="1"/>
  <c r="AB183" i="43"/>
  <c r="AC183" i="43" s="1"/>
  <c r="Z183" i="43"/>
  <c r="AB182" i="43"/>
  <c r="AC182" i="43" s="1"/>
  <c r="AC181" i="43"/>
  <c r="AB181" i="43"/>
  <c r="Z181" i="43"/>
  <c r="AB180" i="43"/>
  <c r="AC179" i="43"/>
  <c r="AB179" i="43"/>
  <c r="Z179" i="43" s="1"/>
  <c r="AB178" i="43"/>
  <c r="AC178" i="43" s="1"/>
  <c r="Z178" i="43"/>
  <c r="AC177" i="43"/>
  <c r="AB177" i="43"/>
  <c r="Z177" i="43"/>
  <c r="AC176" i="43"/>
  <c r="AB176" i="43"/>
  <c r="Z176" i="43" s="1"/>
  <c r="AB175" i="43"/>
  <c r="AC175" i="43" s="1"/>
  <c r="Z175" i="43"/>
  <c r="AB174" i="43"/>
  <c r="AC174" i="43" s="1"/>
  <c r="AC173" i="43"/>
  <c r="AB173" i="43"/>
  <c r="Z173" i="43"/>
  <c r="AB172" i="43"/>
  <c r="AC171" i="43"/>
  <c r="AB171" i="43"/>
  <c r="Z171" i="43" s="1"/>
  <c r="AB170" i="43"/>
  <c r="AC170" i="43" s="1"/>
  <c r="Z170" i="43"/>
  <c r="AC169" i="43"/>
  <c r="AB169" i="43"/>
  <c r="Z169" i="43"/>
  <c r="AC168" i="43"/>
  <c r="AB168" i="43"/>
  <c r="Z168" i="43" s="1"/>
  <c r="AB167" i="43"/>
  <c r="AC167" i="43" s="1"/>
  <c r="Z167" i="43"/>
  <c r="AB166" i="43"/>
  <c r="AC166" i="43" s="1"/>
  <c r="AC165" i="43"/>
  <c r="AB165" i="43"/>
  <c r="Z165" i="43"/>
  <c r="AB164" i="43"/>
  <c r="AC163" i="43"/>
  <c r="AB163" i="43"/>
  <c r="Z163" i="43" s="1"/>
  <c r="AB162" i="43"/>
  <c r="AC162" i="43" s="1"/>
  <c r="Z162" i="43"/>
  <c r="AC161" i="43"/>
  <c r="AB161" i="43"/>
  <c r="Z161" i="43"/>
  <c r="AC160" i="43"/>
  <c r="AB160" i="43"/>
  <c r="Z160" i="43" s="1"/>
  <c r="AB159" i="43"/>
  <c r="AC159" i="43" s="1"/>
  <c r="Z159" i="43"/>
  <c r="AB158" i="43"/>
  <c r="AC158" i="43" s="1"/>
  <c r="AC157" i="43"/>
  <c r="AB157" i="43"/>
  <c r="Z157" i="43"/>
  <c r="AB156" i="43"/>
  <c r="AC155" i="43"/>
  <c r="AB155" i="43"/>
  <c r="Z155" i="43" s="1"/>
  <c r="AB154" i="43"/>
  <c r="AC154" i="43" s="1"/>
  <c r="Z154" i="43"/>
  <c r="AC153" i="43"/>
  <c r="AB153" i="43"/>
  <c r="Z153" i="43"/>
  <c r="AC152" i="43"/>
  <c r="AB152" i="43"/>
  <c r="Z152" i="43" s="1"/>
  <c r="AB151" i="43"/>
  <c r="AC151" i="43" s="1"/>
  <c r="Z151" i="43"/>
  <c r="AB150" i="43"/>
  <c r="AC150" i="43" s="1"/>
  <c r="AC149" i="43"/>
  <c r="AB149" i="43"/>
  <c r="Z149" i="43"/>
  <c r="AB148" i="43"/>
  <c r="AC147" i="43"/>
  <c r="AB147" i="43"/>
  <c r="Z147" i="43" s="1"/>
  <c r="AB146" i="43"/>
  <c r="AC146" i="43" s="1"/>
  <c r="Z146" i="43"/>
  <c r="AC145" i="43"/>
  <c r="AB145" i="43"/>
  <c r="Z145" i="43"/>
  <c r="AC144" i="43"/>
  <c r="AB144" i="43"/>
  <c r="Z144" i="43" s="1"/>
  <c r="AB143" i="43"/>
  <c r="AC143" i="43" s="1"/>
  <c r="Z143" i="43"/>
  <c r="AB142" i="43"/>
  <c r="AC142" i="43" s="1"/>
  <c r="AC141" i="43"/>
  <c r="AB141" i="43"/>
  <c r="Z141" i="43"/>
  <c r="AB140" i="43"/>
  <c r="AC139" i="43"/>
  <c r="AB139" i="43"/>
  <c r="Z139" i="43" s="1"/>
  <c r="AB138" i="43"/>
  <c r="AC138" i="43" s="1"/>
  <c r="Z138" i="43"/>
  <c r="AC137" i="43"/>
  <c r="AB137" i="43"/>
  <c r="Z137" i="43"/>
  <c r="AC136" i="43"/>
  <c r="AB136" i="43"/>
  <c r="Z136" i="43" s="1"/>
  <c r="AB135" i="43"/>
  <c r="AC135" i="43" s="1"/>
  <c r="Z135" i="43"/>
  <c r="AB134" i="43"/>
  <c r="AC134" i="43" s="1"/>
  <c r="AC133" i="43"/>
  <c r="AB133" i="43"/>
  <c r="Z133" i="43"/>
  <c r="AB132" i="43"/>
  <c r="AC131" i="43"/>
  <c r="AB131" i="43"/>
  <c r="Z131" i="43" s="1"/>
  <c r="AB130" i="43"/>
  <c r="AC130" i="43" s="1"/>
  <c r="Z130" i="43"/>
  <c r="AC129" i="43"/>
  <c r="AB129" i="43"/>
  <c r="Z129" i="43"/>
  <c r="AC128" i="43"/>
  <c r="AB128" i="43"/>
  <c r="Z128" i="43" s="1"/>
  <c r="AB127" i="43"/>
  <c r="AC127" i="43" s="1"/>
  <c r="Z127" i="43"/>
  <c r="AB126" i="43"/>
  <c r="AC126" i="43" s="1"/>
  <c r="AC125" i="43"/>
  <c r="AB125" i="43"/>
  <c r="Z125" i="43"/>
  <c r="AB124" i="43"/>
  <c r="AC123" i="43"/>
  <c r="AB123" i="43"/>
  <c r="Z123" i="43" s="1"/>
  <c r="AB122" i="43"/>
  <c r="AC122" i="43" s="1"/>
  <c r="Z122" i="43"/>
  <c r="AC121" i="43"/>
  <c r="AB121" i="43"/>
  <c r="Z121" i="43"/>
  <c r="AC120" i="43"/>
  <c r="AB120" i="43"/>
  <c r="Z120" i="43" s="1"/>
  <c r="AB119" i="43"/>
  <c r="AC119" i="43" s="1"/>
  <c r="Z119" i="43"/>
  <c r="AB118" i="43"/>
  <c r="AC118" i="43" s="1"/>
  <c r="AC117" i="43"/>
  <c r="AB117" i="43"/>
  <c r="Z117" i="43"/>
  <c r="AB116" i="43"/>
  <c r="AC115" i="43"/>
  <c r="AB115" i="43"/>
  <c r="Z115" i="43" s="1"/>
  <c r="AB114" i="43"/>
  <c r="AC114" i="43" s="1"/>
  <c r="Z114" i="43"/>
  <c r="AC113" i="43"/>
  <c r="AB113" i="43"/>
  <c r="Z113" i="43"/>
  <c r="AC112" i="43"/>
  <c r="AB112" i="43"/>
  <c r="Z112" i="43" s="1"/>
  <c r="AB111" i="43"/>
  <c r="AC111" i="43" s="1"/>
  <c r="Z111" i="43"/>
  <c r="AB110" i="43"/>
  <c r="AC110" i="43" s="1"/>
  <c r="AC109" i="43"/>
  <c r="AB109" i="43"/>
  <c r="Z109" i="43"/>
  <c r="AB108" i="43"/>
  <c r="AC107" i="43"/>
  <c r="AB107" i="43"/>
  <c r="Z107" i="43" s="1"/>
  <c r="AB106" i="43"/>
  <c r="AC106" i="43" s="1"/>
  <c r="Z106" i="43"/>
  <c r="AC105" i="43"/>
  <c r="AB105" i="43"/>
  <c r="Z105" i="43"/>
  <c r="AC104" i="43"/>
  <c r="AB104" i="43"/>
  <c r="Z104" i="43" s="1"/>
  <c r="AB103" i="43"/>
  <c r="AC103" i="43" s="1"/>
  <c r="Z103" i="43"/>
  <c r="AB102" i="43"/>
  <c r="AC102" i="43" s="1"/>
  <c r="AC101" i="43"/>
  <c r="AB101" i="43"/>
  <c r="Z101" i="43"/>
  <c r="AB100" i="43"/>
  <c r="AC99" i="43"/>
  <c r="AB99" i="43"/>
  <c r="Z99" i="43" s="1"/>
  <c r="AB98" i="43"/>
  <c r="AC98" i="43" s="1"/>
  <c r="Z98" i="43"/>
  <c r="AC97" i="43"/>
  <c r="AB97" i="43"/>
  <c r="Z97" i="43"/>
  <c r="AC96" i="43"/>
  <c r="AB96" i="43"/>
  <c r="Z96" i="43" s="1"/>
  <c r="AB95" i="43"/>
  <c r="AC95" i="43" s="1"/>
  <c r="Z95" i="43"/>
  <c r="AB94" i="43"/>
  <c r="AC94" i="43" s="1"/>
  <c r="AC93" i="43"/>
  <c r="AB93" i="43"/>
  <c r="Z93" i="43"/>
  <c r="AB92" i="43"/>
  <c r="AC91" i="43"/>
  <c r="AB91" i="43"/>
  <c r="Z91" i="43" s="1"/>
  <c r="AB90" i="43"/>
  <c r="AC90" i="43" s="1"/>
  <c r="Z90" i="43"/>
  <c r="AC89" i="43"/>
  <c r="AB89" i="43"/>
  <c r="Z89" i="43"/>
  <c r="AC88" i="43"/>
  <c r="AB88" i="43"/>
  <c r="Z88" i="43" s="1"/>
  <c r="AB87" i="43"/>
  <c r="AC87" i="43" s="1"/>
  <c r="Z87" i="43"/>
  <c r="AB86" i="43"/>
  <c r="AC86" i="43" s="1"/>
  <c r="AC85" i="43"/>
  <c r="AB85" i="43"/>
  <c r="Z85" i="43"/>
  <c r="AB84" i="43"/>
  <c r="AC83" i="43"/>
  <c r="AB83" i="43"/>
  <c r="Z83" i="43" s="1"/>
  <c r="AB82" i="43"/>
  <c r="AB81" i="43"/>
  <c r="AC80" i="43"/>
  <c r="AB80" i="43"/>
  <c r="Z80" i="43"/>
  <c r="AC79" i="43"/>
  <c r="AB79" i="43"/>
  <c r="Z79" i="43" s="1"/>
  <c r="AB78" i="43"/>
  <c r="Z78" i="43" s="1"/>
  <c r="AB77" i="43"/>
  <c r="AC77" i="43" s="1"/>
  <c r="Z77" i="43"/>
  <c r="AC76" i="43"/>
  <c r="AB76" i="43"/>
  <c r="Z76" i="43"/>
  <c r="AC75" i="43"/>
  <c r="AB75" i="43"/>
  <c r="Z75" i="43" s="1"/>
  <c r="AC74" i="43"/>
  <c r="AB74" i="43"/>
  <c r="Z74" i="43" s="1"/>
  <c r="AB73" i="43"/>
  <c r="AC73" i="43" s="1"/>
  <c r="Z73" i="43"/>
  <c r="AC72" i="43"/>
  <c r="AB72" i="43"/>
  <c r="Z72" i="43"/>
  <c r="AC71" i="43"/>
  <c r="AB71" i="43"/>
  <c r="Z71" i="43" s="1"/>
  <c r="C71" i="43"/>
  <c r="AC70" i="43"/>
  <c r="AB70" i="43"/>
  <c r="Z70" i="43" s="1"/>
  <c r="AC69" i="43"/>
  <c r="AB69" i="43"/>
  <c r="Z69" i="43" s="1"/>
  <c r="AC68" i="43"/>
  <c r="AB68" i="43"/>
  <c r="Z68" i="43" s="1"/>
  <c r="AC67" i="43"/>
  <c r="AB67" i="43"/>
  <c r="Z67" i="43" s="1"/>
  <c r="AC66" i="43"/>
  <c r="AB66" i="43"/>
  <c r="Z66" i="43" s="1"/>
  <c r="AC65" i="43"/>
  <c r="AB65" i="43"/>
  <c r="Z65" i="43" s="1"/>
  <c r="AB64" i="43"/>
  <c r="AC64" i="43" s="1"/>
  <c r="Z64" i="43"/>
  <c r="AC63" i="43"/>
  <c r="AB63" i="43"/>
  <c r="Z63" i="43"/>
  <c r="AC62" i="43"/>
  <c r="AB62" i="43"/>
  <c r="Z62" i="43" s="1"/>
  <c r="AC61" i="43"/>
  <c r="AB61" i="43"/>
  <c r="Z61" i="43" s="1"/>
  <c r="AB60" i="43"/>
  <c r="AC60" i="43" s="1"/>
  <c r="Z60" i="43"/>
  <c r="AC59" i="43"/>
  <c r="AB59" i="43"/>
  <c r="Z59" i="43"/>
  <c r="L59" i="43"/>
  <c r="AC58" i="43"/>
  <c r="AB58" i="43"/>
  <c r="Z58" i="43" s="1"/>
  <c r="AB57" i="43"/>
  <c r="AC57" i="43" s="1"/>
  <c r="Z57" i="43"/>
  <c r="AB56" i="43"/>
  <c r="AC56" i="43" s="1"/>
  <c r="AB55" i="43"/>
  <c r="AC55" i="43" s="1"/>
  <c r="Z55" i="43"/>
  <c r="AB54" i="43"/>
  <c r="AC54" i="43" s="1"/>
  <c r="B54" i="43"/>
  <c r="AB53" i="43"/>
  <c r="AC52" i="43"/>
  <c r="AB52" i="43"/>
  <c r="Z52" i="43"/>
  <c r="AC51" i="43"/>
  <c r="AB51" i="43"/>
  <c r="Z51" i="43" s="1"/>
  <c r="AC50" i="43"/>
  <c r="AB50" i="43"/>
  <c r="Z50" i="43" s="1"/>
  <c r="AB49" i="43"/>
  <c r="AC49" i="43" s="1"/>
  <c r="AB48" i="43"/>
  <c r="AC48" i="43" s="1"/>
  <c r="Z48" i="43"/>
  <c r="AC47" i="43"/>
  <c r="AB47" i="43"/>
  <c r="Z47" i="43"/>
  <c r="AC46" i="43"/>
  <c r="AB46" i="43"/>
  <c r="Z46" i="43"/>
  <c r="AC45" i="43"/>
  <c r="AB45" i="43"/>
  <c r="Z45" i="43"/>
  <c r="AC44" i="43"/>
  <c r="AB44" i="43"/>
  <c r="Z44" i="43" s="1"/>
  <c r="L44" i="43"/>
  <c r="AB43" i="43"/>
  <c r="AB42" i="43"/>
  <c r="AC41" i="43"/>
  <c r="AB41" i="43"/>
  <c r="Z41" i="43" s="1"/>
  <c r="AB40" i="43"/>
  <c r="AC39" i="43"/>
  <c r="AB39" i="43"/>
  <c r="Z39" i="43" s="1"/>
  <c r="AC38" i="43"/>
  <c r="AB38" i="43"/>
  <c r="Z38" i="43" s="1"/>
  <c r="AB37" i="43"/>
  <c r="AC37" i="43" s="1"/>
  <c r="AC36" i="43"/>
  <c r="AB36" i="43"/>
  <c r="Z36" i="43"/>
  <c r="C36" i="43"/>
  <c r="AC35" i="43"/>
  <c r="AB35" i="43"/>
  <c r="Z35" i="43"/>
  <c r="AB34" i="43"/>
  <c r="L34" i="43"/>
  <c r="AC33" i="43"/>
  <c r="AB33" i="43"/>
  <c r="Z33" i="43" s="1"/>
  <c r="L33" i="43"/>
  <c r="AC32" i="43"/>
  <c r="AB32" i="43"/>
  <c r="Z32" i="43" s="1"/>
  <c r="AB31" i="43"/>
  <c r="Z31" i="43" s="1"/>
  <c r="AC30" i="43"/>
  <c r="AB30" i="43"/>
  <c r="Z30" i="43"/>
  <c r="AC29" i="43"/>
  <c r="AB29" i="43"/>
  <c r="Z29" i="43" s="1"/>
  <c r="AC28" i="43"/>
  <c r="AB28" i="43"/>
  <c r="Z28" i="43" s="1"/>
  <c r="AB27" i="43"/>
  <c r="AC27" i="43" s="1"/>
  <c r="Z27" i="43"/>
  <c r="AB26" i="43"/>
  <c r="AC25" i="43"/>
  <c r="AB25" i="43"/>
  <c r="Z25" i="43" s="1"/>
  <c r="C25" i="43"/>
  <c r="AC24" i="43"/>
  <c r="AB24" i="43"/>
  <c r="Z24" i="43" s="1"/>
  <c r="AC23" i="43"/>
  <c r="AB23" i="43"/>
  <c r="Z23" i="43"/>
  <c r="AB22" i="43"/>
  <c r="AC22" i="43" s="1"/>
  <c r="AC21" i="43"/>
  <c r="AB21" i="43"/>
  <c r="Z21" i="43"/>
  <c r="AB20" i="43"/>
  <c r="AB19" i="43"/>
  <c r="AC19" i="43" s="1"/>
  <c r="Z19" i="43"/>
  <c r="AB18" i="43"/>
  <c r="AC18" i="43" s="1"/>
  <c r="Z18" i="43"/>
  <c r="AC17" i="43"/>
  <c r="AB17" i="43"/>
  <c r="Z17" i="43"/>
  <c r="AC16" i="43"/>
  <c r="AB16" i="43"/>
  <c r="Z16" i="43"/>
  <c r="AC15" i="43"/>
  <c r="AB15" i="43"/>
  <c r="Z15" i="43" s="1"/>
  <c r="AC14" i="43"/>
  <c r="AB14" i="43"/>
  <c r="Z14" i="43" s="1"/>
  <c r="AC13" i="43"/>
  <c r="AB13" i="43"/>
  <c r="Z13" i="43"/>
  <c r="AB12" i="43"/>
  <c r="AC12" i="43" s="1"/>
  <c r="D43" i="42"/>
  <c r="D26" i="42"/>
  <c r="D20" i="42"/>
  <c r="F20" i="42" s="1"/>
  <c r="F19" i="42"/>
  <c r="D19" i="42"/>
  <c r="C3" i="44" s="1"/>
  <c r="D14" i="42"/>
  <c r="D10" i="42"/>
  <c r="C20" i="45" s="1"/>
  <c r="D8" i="42"/>
  <c r="C18" i="45" s="1"/>
  <c r="C19" i="45" s="1"/>
  <c r="F7" i="42"/>
  <c r="C5" i="43" s="1"/>
  <c r="C27" i="43" s="1"/>
  <c r="B41" i="43" s="1"/>
  <c r="L4" i="42"/>
  <c r="D4" i="42"/>
  <c r="L3" i="42"/>
  <c r="B6" i="40"/>
  <c r="B8" i="40" s="1"/>
  <c r="B9" i="40" s="1"/>
  <c r="F5" i="40"/>
  <c r="F6" i="40" s="1"/>
  <c r="B5" i="40"/>
  <c r="B3" i="40"/>
  <c r="B14" i="40" s="1"/>
  <c r="F2" i="40"/>
  <c r="F3" i="40" s="1"/>
  <c r="F4" i="40" s="1"/>
  <c r="C24" i="39"/>
  <c r="E24" i="39" s="1"/>
  <c r="C23" i="39"/>
  <c r="C21" i="39"/>
  <c r="G11" i="39"/>
  <c r="C11" i="39"/>
  <c r="G10" i="39"/>
  <c r="C5" i="39"/>
  <c r="C19" i="39" s="1"/>
  <c r="C4" i="39"/>
  <c r="C3" i="39"/>
  <c r="C12" i="39" s="1"/>
  <c r="B11" i="38"/>
  <c r="C7" i="38"/>
  <c r="C15" i="38" s="1"/>
  <c r="C6" i="38"/>
  <c r="C4" i="38"/>
  <c r="C3" i="38"/>
  <c r="B7" i="37"/>
  <c r="B8" i="37" s="1"/>
  <c r="B5" i="37"/>
  <c r="B4" i="37"/>
  <c r="B3" i="37"/>
  <c r="B2" i="37"/>
  <c r="B1" i="37"/>
  <c r="D35" i="36"/>
  <c r="K34" i="36"/>
  <c r="J34" i="36"/>
  <c r="I34" i="36"/>
  <c r="H34" i="36"/>
  <c r="G34" i="36"/>
  <c r="F34" i="36"/>
  <c r="E34" i="36"/>
  <c r="C31" i="36"/>
  <c r="L28" i="36"/>
  <c r="L27" i="36"/>
  <c r="C20" i="36"/>
  <c r="C18" i="36"/>
  <c r="C19" i="36" s="1"/>
  <c r="C6" i="36"/>
  <c r="C3" i="36"/>
  <c r="C4" i="36" s="1"/>
  <c r="L44" i="35"/>
  <c r="C36" i="35"/>
  <c r="L34" i="35"/>
  <c r="L33" i="35"/>
  <c r="C6" i="35"/>
  <c r="C4" i="35"/>
  <c r="C3" i="35"/>
  <c r="AC372" i="34"/>
  <c r="AB372" i="34"/>
  <c r="Z372" i="34" s="1"/>
  <c r="AB371" i="34"/>
  <c r="AC371" i="34" s="1"/>
  <c r="Z371" i="34"/>
  <c r="AC370" i="34"/>
  <c r="AB370" i="34"/>
  <c r="Z370" i="34"/>
  <c r="AC369" i="34"/>
  <c r="AB369" i="34"/>
  <c r="Z369" i="34" s="1"/>
  <c r="AB368" i="34"/>
  <c r="AC368" i="34" s="1"/>
  <c r="Z368" i="34"/>
  <c r="AB367" i="34"/>
  <c r="AC367" i="34" s="1"/>
  <c r="AC366" i="34"/>
  <c r="AB366" i="34"/>
  <c r="Z366" i="34"/>
  <c r="AB365" i="34"/>
  <c r="AC364" i="34"/>
  <c r="AB364" i="34"/>
  <c r="Z364" i="34" s="1"/>
  <c r="AB363" i="34"/>
  <c r="AC363" i="34" s="1"/>
  <c r="Z363" i="34"/>
  <c r="AC362" i="34"/>
  <c r="AB362" i="34"/>
  <c r="Z362" i="34"/>
  <c r="AC361" i="34"/>
  <c r="AB361" i="34"/>
  <c r="Z361" i="34" s="1"/>
  <c r="AB360" i="34"/>
  <c r="AC360" i="34" s="1"/>
  <c r="Z360" i="34"/>
  <c r="AB359" i="34"/>
  <c r="AC359" i="34" s="1"/>
  <c r="AC358" i="34"/>
  <c r="AB358" i="34"/>
  <c r="Z358" i="34"/>
  <c r="AB357" i="34"/>
  <c r="AC356" i="34"/>
  <c r="AB356" i="34"/>
  <c r="Z356" i="34" s="1"/>
  <c r="AB355" i="34"/>
  <c r="AC355" i="34" s="1"/>
  <c r="Z355" i="34"/>
  <c r="AC354" i="34"/>
  <c r="AB354" i="34"/>
  <c r="Z354" i="34"/>
  <c r="AC353" i="34"/>
  <c r="AB353" i="34"/>
  <c r="Z353" i="34" s="1"/>
  <c r="AB352" i="34"/>
  <c r="AC352" i="34" s="1"/>
  <c r="Z352" i="34"/>
  <c r="AB351" i="34"/>
  <c r="AC351" i="34" s="1"/>
  <c r="AC350" i="34"/>
  <c r="AB350" i="34"/>
  <c r="Z350" i="34"/>
  <c r="AB349" i="34"/>
  <c r="AC348" i="34"/>
  <c r="AB348" i="34"/>
  <c r="Z348" i="34" s="1"/>
  <c r="AB347" i="34"/>
  <c r="AC347" i="34" s="1"/>
  <c r="Z347" i="34"/>
  <c r="AC346" i="34"/>
  <c r="AB346" i="34"/>
  <c r="Z346" i="34"/>
  <c r="AC345" i="34"/>
  <c r="AB345" i="34"/>
  <c r="Z345" i="34" s="1"/>
  <c r="AB344" i="34"/>
  <c r="AC344" i="34" s="1"/>
  <c r="Z344" i="34"/>
  <c r="AB343" i="34"/>
  <c r="AC343" i="34" s="1"/>
  <c r="AC342" i="34"/>
  <c r="AB342" i="34"/>
  <c r="Z342" i="34"/>
  <c r="AB341" i="34"/>
  <c r="AC340" i="34"/>
  <c r="AB340" i="34"/>
  <c r="Z340" i="34" s="1"/>
  <c r="AB339" i="34"/>
  <c r="AC339" i="34" s="1"/>
  <c r="Z339" i="34"/>
  <c r="AC338" i="34"/>
  <c r="AB338" i="34"/>
  <c r="Z338" i="34"/>
  <c r="AC337" i="34"/>
  <c r="AB337" i="34"/>
  <c r="Z337" i="34" s="1"/>
  <c r="AB336" i="34"/>
  <c r="AC336" i="34" s="1"/>
  <c r="Z336" i="34"/>
  <c r="AB335" i="34"/>
  <c r="AC335" i="34" s="1"/>
  <c r="AC334" i="34"/>
  <c r="AB334" i="34"/>
  <c r="Z334" i="34"/>
  <c r="AB333" i="34"/>
  <c r="AC332" i="34"/>
  <c r="AB332" i="34"/>
  <c r="Z332" i="34" s="1"/>
  <c r="AB331" i="34"/>
  <c r="AC331" i="34" s="1"/>
  <c r="Z331" i="34"/>
  <c r="AC330" i="34"/>
  <c r="AB330" i="34"/>
  <c r="Z330" i="34"/>
  <c r="AC329" i="34"/>
  <c r="AB329" i="34"/>
  <c r="Z329" i="34" s="1"/>
  <c r="AB328" i="34"/>
  <c r="AC328" i="34" s="1"/>
  <c r="Z328" i="34"/>
  <c r="AB327" i="34"/>
  <c r="AC327" i="34" s="1"/>
  <c r="AC326" i="34"/>
  <c r="AB326" i="34"/>
  <c r="Z326" i="34"/>
  <c r="AB325" i="34"/>
  <c r="AC324" i="34"/>
  <c r="AB324" i="34"/>
  <c r="Z324" i="34" s="1"/>
  <c r="AB323" i="34"/>
  <c r="AC323" i="34" s="1"/>
  <c r="Z323" i="34"/>
  <c r="AC322" i="34"/>
  <c r="AB322" i="34"/>
  <c r="Z322" i="34"/>
  <c r="AC321" i="34"/>
  <c r="AB321" i="34"/>
  <c r="Z321" i="34" s="1"/>
  <c r="AB320" i="34"/>
  <c r="AC320" i="34" s="1"/>
  <c r="Z320" i="34"/>
  <c r="AB319" i="34"/>
  <c r="AC319" i="34" s="1"/>
  <c r="AC318" i="34"/>
  <c r="AB318" i="34"/>
  <c r="Z318" i="34"/>
  <c r="AB317" i="34"/>
  <c r="AC316" i="34"/>
  <c r="AB316" i="34"/>
  <c r="Z316" i="34" s="1"/>
  <c r="AB315" i="34"/>
  <c r="Z315" i="34" s="1"/>
  <c r="AB314" i="34"/>
  <c r="AC314" i="34" s="1"/>
  <c r="AB313" i="34"/>
  <c r="AC313" i="34" s="1"/>
  <c r="Z313" i="34"/>
  <c r="AC312" i="34"/>
  <c r="AB312" i="34"/>
  <c r="Z312" i="34"/>
  <c r="AB311" i="34"/>
  <c r="Z311" i="34" s="1"/>
  <c r="AB310" i="34"/>
  <c r="AC310" i="34" s="1"/>
  <c r="Z310" i="34"/>
  <c r="AB309" i="34"/>
  <c r="AC309" i="34" s="1"/>
  <c r="Z309" i="34"/>
  <c r="AC308" i="34"/>
  <c r="AB308" i="34"/>
  <c r="Z308" i="34"/>
  <c r="AC307" i="34"/>
  <c r="AB307" i="34"/>
  <c r="Z307" i="34" s="1"/>
  <c r="AB306" i="34"/>
  <c r="AC306" i="34" s="1"/>
  <c r="Z306" i="34"/>
  <c r="AB305" i="34"/>
  <c r="AC305" i="34" s="1"/>
  <c r="Z305" i="34"/>
  <c r="AC304" i="34"/>
  <c r="AB304" i="34"/>
  <c r="Z304" i="34"/>
  <c r="AB303" i="34"/>
  <c r="Z303" i="34" s="1"/>
  <c r="AB302" i="34"/>
  <c r="AC302" i="34" s="1"/>
  <c r="Z302" i="34"/>
  <c r="AB301" i="34"/>
  <c r="AC301" i="34" s="1"/>
  <c r="Z301" i="34"/>
  <c r="AC300" i="34"/>
  <c r="AB300" i="34"/>
  <c r="Z300" i="34"/>
  <c r="AB299" i="34"/>
  <c r="Z299" i="34" s="1"/>
  <c r="AB298" i="34"/>
  <c r="AC298" i="34" s="1"/>
  <c r="AB297" i="34"/>
  <c r="AC297" i="34" s="1"/>
  <c r="Z297" i="34"/>
  <c r="AC296" i="34"/>
  <c r="AB296" i="34"/>
  <c r="Z296" i="34"/>
  <c r="AB295" i="34"/>
  <c r="Z295" i="34" s="1"/>
  <c r="AB294" i="34"/>
  <c r="AC294" i="34" s="1"/>
  <c r="Z294" i="34"/>
  <c r="AB293" i="34"/>
  <c r="AC293" i="34" s="1"/>
  <c r="Z293" i="34"/>
  <c r="AC292" i="34"/>
  <c r="AB292" i="34"/>
  <c r="Z292" i="34"/>
  <c r="AC291" i="34"/>
  <c r="AB291" i="34"/>
  <c r="Z291" i="34" s="1"/>
  <c r="AB290" i="34"/>
  <c r="AC290" i="34" s="1"/>
  <c r="Z290" i="34"/>
  <c r="AB289" i="34"/>
  <c r="AC289" i="34" s="1"/>
  <c r="Z289" i="34"/>
  <c r="AC288" i="34"/>
  <c r="AB288" i="34"/>
  <c r="Z288" i="34"/>
  <c r="AB287" i="34"/>
  <c r="Z287" i="34" s="1"/>
  <c r="AB286" i="34"/>
  <c r="AC286" i="34" s="1"/>
  <c r="Z286" i="34"/>
  <c r="AB285" i="34"/>
  <c r="AC285" i="34" s="1"/>
  <c r="Z285" i="34"/>
  <c r="AC284" i="34"/>
  <c r="AB284" i="34"/>
  <c r="Z284" i="34"/>
  <c r="AB283" i="34"/>
  <c r="Z283" i="34" s="1"/>
  <c r="AB282" i="34"/>
  <c r="AC282" i="34" s="1"/>
  <c r="AB281" i="34"/>
  <c r="AC281" i="34" s="1"/>
  <c r="Z281" i="34"/>
  <c r="AC280" i="34"/>
  <c r="AB280" i="34"/>
  <c r="Z280" i="34"/>
  <c r="AB279" i="34"/>
  <c r="Z279" i="34" s="1"/>
  <c r="AB278" i="34"/>
  <c r="AC278" i="34" s="1"/>
  <c r="Z278" i="34"/>
  <c r="AB277" i="34"/>
  <c r="AC277" i="34" s="1"/>
  <c r="Z277" i="34"/>
  <c r="AC276" i="34"/>
  <c r="AB276" i="34"/>
  <c r="Z276" i="34"/>
  <c r="AC275" i="34"/>
  <c r="AB275" i="34"/>
  <c r="Z275" i="34" s="1"/>
  <c r="AB274" i="34"/>
  <c r="AC274" i="34" s="1"/>
  <c r="Z274" i="34"/>
  <c r="AB273" i="34"/>
  <c r="AC273" i="34" s="1"/>
  <c r="Z273" i="34"/>
  <c r="AC272" i="34"/>
  <c r="AB272" i="34"/>
  <c r="Z272" i="34"/>
  <c r="AB271" i="34"/>
  <c r="Z271" i="34" s="1"/>
  <c r="AB270" i="34"/>
  <c r="AC270" i="34" s="1"/>
  <c r="Z270" i="34"/>
  <c r="AB269" i="34"/>
  <c r="AC269" i="34" s="1"/>
  <c r="Z269" i="34"/>
  <c r="AC268" i="34"/>
  <c r="AB268" i="34"/>
  <c r="Z268" i="34"/>
  <c r="AB267" i="34"/>
  <c r="Z267" i="34" s="1"/>
  <c r="AB266" i="34"/>
  <c r="AC266" i="34" s="1"/>
  <c r="AB265" i="34"/>
  <c r="AC265" i="34" s="1"/>
  <c r="Z265" i="34"/>
  <c r="AC264" i="34"/>
  <c r="AB264" i="34"/>
  <c r="Z264" i="34"/>
  <c r="AB263" i="34"/>
  <c r="Z263" i="34" s="1"/>
  <c r="AB262" i="34"/>
  <c r="AC262" i="34" s="1"/>
  <c r="Z262" i="34"/>
  <c r="AB261" i="34"/>
  <c r="AC261" i="34" s="1"/>
  <c r="Z261" i="34"/>
  <c r="AC260" i="34"/>
  <c r="AB260" i="34"/>
  <c r="Z260" i="34"/>
  <c r="AC259" i="34"/>
  <c r="AB259" i="34"/>
  <c r="Z259" i="34" s="1"/>
  <c r="AB258" i="34"/>
  <c r="AC258" i="34" s="1"/>
  <c r="Z258" i="34"/>
  <c r="AB257" i="34"/>
  <c r="AC257" i="34" s="1"/>
  <c r="Z257" i="34"/>
  <c r="AC256" i="34"/>
  <c r="AB256" i="34"/>
  <c r="Z256" i="34"/>
  <c r="AB255" i="34"/>
  <c r="Z255" i="34" s="1"/>
  <c r="AB254" i="34"/>
  <c r="AC254" i="34" s="1"/>
  <c r="Z254" i="34"/>
  <c r="AB253" i="34"/>
  <c r="AC253" i="34" s="1"/>
  <c r="Z253" i="34"/>
  <c r="AC252" i="34"/>
  <c r="AB252" i="34"/>
  <c r="Z252" i="34"/>
  <c r="AB251" i="34"/>
  <c r="Z251" i="34" s="1"/>
  <c r="AB250" i="34"/>
  <c r="AC250" i="34" s="1"/>
  <c r="AB249" i="34"/>
  <c r="AC249" i="34" s="1"/>
  <c r="Z249" i="34"/>
  <c r="AC248" i="34"/>
  <c r="AB248" i="34"/>
  <c r="Z248" i="34"/>
  <c r="AB247" i="34"/>
  <c r="Z247" i="34" s="1"/>
  <c r="AB246" i="34"/>
  <c r="AC246" i="34" s="1"/>
  <c r="Z246" i="34"/>
  <c r="AB245" i="34"/>
  <c r="AC245" i="34" s="1"/>
  <c r="Z245" i="34"/>
  <c r="AC244" i="34"/>
  <c r="AB244" i="34"/>
  <c r="Z244" i="34"/>
  <c r="AC243" i="34"/>
  <c r="AB243" i="34"/>
  <c r="Z243" i="34" s="1"/>
  <c r="AB242" i="34"/>
  <c r="AC242" i="34" s="1"/>
  <c r="Z242" i="34"/>
  <c r="AB241" i="34"/>
  <c r="AC241" i="34" s="1"/>
  <c r="Z241" i="34"/>
  <c r="AC240" i="34"/>
  <c r="AB240" i="34"/>
  <c r="Z240" i="34"/>
  <c r="AB239" i="34"/>
  <c r="Z239" i="34" s="1"/>
  <c r="AB238" i="34"/>
  <c r="AC238" i="34" s="1"/>
  <c r="Z238" i="34"/>
  <c r="AB237" i="34"/>
  <c r="AC237" i="34" s="1"/>
  <c r="Z237" i="34"/>
  <c r="AC236" i="34"/>
  <c r="AB236" i="34"/>
  <c r="Z236" i="34"/>
  <c r="AB235" i="34"/>
  <c r="Z235" i="34" s="1"/>
  <c r="AB234" i="34"/>
  <c r="AC234" i="34" s="1"/>
  <c r="AB233" i="34"/>
  <c r="AC233" i="34" s="1"/>
  <c r="Z233" i="34"/>
  <c r="AC232" i="34"/>
  <c r="AB232" i="34"/>
  <c r="Z232" i="34"/>
  <c r="AB231" i="34"/>
  <c r="Z231" i="34" s="1"/>
  <c r="AB230" i="34"/>
  <c r="AC230" i="34" s="1"/>
  <c r="Z230" i="34"/>
  <c r="AB229" i="34"/>
  <c r="AC229" i="34" s="1"/>
  <c r="Z229" i="34"/>
  <c r="AC228" i="34"/>
  <c r="AB228" i="34"/>
  <c r="Z228" i="34"/>
  <c r="AC227" i="34"/>
  <c r="AB227" i="34"/>
  <c r="Z227" i="34" s="1"/>
  <c r="AB226" i="34"/>
  <c r="AC226" i="34" s="1"/>
  <c r="Z226" i="34"/>
  <c r="AB225" i="34"/>
  <c r="AC225" i="34" s="1"/>
  <c r="Z225" i="34"/>
  <c r="AC224" i="34"/>
  <c r="AB224" i="34"/>
  <c r="Z224" i="34"/>
  <c r="AB223" i="34"/>
  <c r="Z223" i="34" s="1"/>
  <c r="AB222" i="34"/>
  <c r="AC222" i="34" s="1"/>
  <c r="Z222" i="34"/>
  <c r="AB221" i="34"/>
  <c r="AC221" i="34" s="1"/>
  <c r="Z221" i="34"/>
  <c r="AC220" i="34"/>
  <c r="AB220" i="34"/>
  <c r="Z220" i="34"/>
  <c r="AB219" i="34"/>
  <c r="Z219" i="34" s="1"/>
  <c r="AB218" i="34"/>
  <c r="AC218" i="34" s="1"/>
  <c r="AB217" i="34"/>
  <c r="AC217" i="34" s="1"/>
  <c r="Z217" i="34"/>
  <c r="AC216" i="34"/>
  <c r="AB216" i="34"/>
  <c r="Z216" i="34"/>
  <c r="AB215" i="34"/>
  <c r="Z215" i="34" s="1"/>
  <c r="AB214" i="34"/>
  <c r="AC214" i="34" s="1"/>
  <c r="Z214" i="34"/>
  <c r="AB213" i="34"/>
  <c r="AC213" i="34" s="1"/>
  <c r="Z213" i="34"/>
  <c r="AC212" i="34"/>
  <c r="AB212" i="34"/>
  <c r="Z212" i="34"/>
  <c r="AC211" i="34"/>
  <c r="AB211" i="34"/>
  <c r="Z211" i="34" s="1"/>
  <c r="AB210" i="34"/>
  <c r="AC210" i="34" s="1"/>
  <c r="Z210" i="34"/>
  <c r="AB209" i="34"/>
  <c r="AC209" i="34" s="1"/>
  <c r="Z209" i="34"/>
  <c r="AC208" i="34"/>
  <c r="AB208" i="34"/>
  <c r="Z208" i="34"/>
  <c r="AC207" i="34"/>
  <c r="AB207" i="34"/>
  <c r="Z207" i="34" s="1"/>
  <c r="AB206" i="34"/>
  <c r="AC206" i="34" s="1"/>
  <c r="Z206" i="34"/>
  <c r="AB205" i="34"/>
  <c r="AC205" i="34" s="1"/>
  <c r="Z205" i="34"/>
  <c r="AC204" i="34"/>
  <c r="AB204" i="34"/>
  <c r="Z204" i="34"/>
  <c r="AB203" i="34"/>
  <c r="Z203" i="34" s="1"/>
  <c r="AB202" i="34"/>
  <c r="AC202" i="34" s="1"/>
  <c r="AB201" i="34"/>
  <c r="AC201" i="34" s="1"/>
  <c r="Z201" i="34"/>
  <c r="AC200" i="34"/>
  <c r="AB200" i="34"/>
  <c r="Z200" i="34"/>
  <c r="AB199" i="34"/>
  <c r="Z199" i="34" s="1"/>
  <c r="AB198" i="34"/>
  <c r="AC198" i="34" s="1"/>
  <c r="AB197" i="34"/>
  <c r="AC197" i="34" s="1"/>
  <c r="Z197" i="34"/>
  <c r="AC196" i="34"/>
  <c r="AB196" i="34"/>
  <c r="Z196" i="34"/>
  <c r="AC195" i="34"/>
  <c r="AB195" i="34"/>
  <c r="Z195" i="34" s="1"/>
  <c r="AB194" i="34"/>
  <c r="AC194" i="34" s="1"/>
  <c r="Z194" i="34"/>
  <c r="AB193" i="34"/>
  <c r="AC193" i="34" s="1"/>
  <c r="Z193" i="34"/>
  <c r="AC192" i="34"/>
  <c r="AB192" i="34"/>
  <c r="Z192" i="34"/>
  <c r="AC191" i="34"/>
  <c r="AB191" i="34"/>
  <c r="Z191" i="34" s="1"/>
  <c r="AB190" i="34"/>
  <c r="AC190" i="34" s="1"/>
  <c r="Z190" i="34"/>
  <c r="AB189" i="34"/>
  <c r="AC189" i="34" s="1"/>
  <c r="Z189" i="34"/>
  <c r="AC188" i="34"/>
  <c r="AB188" i="34"/>
  <c r="Z188" i="34"/>
  <c r="AB187" i="34"/>
  <c r="Z187" i="34" s="1"/>
  <c r="AB186" i="34"/>
  <c r="AC186" i="34" s="1"/>
  <c r="AB185" i="34"/>
  <c r="AC185" i="34" s="1"/>
  <c r="Z185" i="34"/>
  <c r="AC184" i="34"/>
  <c r="AB184" i="34"/>
  <c r="Z184" i="34"/>
  <c r="AB183" i="34"/>
  <c r="Z183" i="34" s="1"/>
  <c r="AB182" i="34"/>
  <c r="AC182" i="34" s="1"/>
  <c r="AB181" i="34"/>
  <c r="AC181" i="34" s="1"/>
  <c r="Z181" i="34"/>
  <c r="AC180" i="34"/>
  <c r="AB180" i="34"/>
  <c r="Z180" i="34"/>
  <c r="AC179" i="34"/>
  <c r="AB179" i="34"/>
  <c r="Z179" i="34" s="1"/>
  <c r="AB178" i="34"/>
  <c r="AC178" i="34" s="1"/>
  <c r="Z178" i="34"/>
  <c r="AB177" i="34"/>
  <c r="AC177" i="34" s="1"/>
  <c r="Z177" i="34"/>
  <c r="AC176" i="34"/>
  <c r="AB176" i="34"/>
  <c r="Z176" i="34"/>
  <c r="AC175" i="34"/>
  <c r="AB175" i="34"/>
  <c r="Z175" i="34" s="1"/>
  <c r="AB174" i="34"/>
  <c r="AC174" i="34" s="1"/>
  <c r="Z174" i="34"/>
  <c r="AB173" i="34"/>
  <c r="AC173" i="34" s="1"/>
  <c r="Z173" i="34"/>
  <c r="AC172" i="34"/>
  <c r="AB172" i="34"/>
  <c r="Z172" i="34"/>
  <c r="AB171" i="34"/>
  <c r="Z171" i="34" s="1"/>
  <c r="AC170" i="34"/>
  <c r="AB170" i="34"/>
  <c r="Z170" i="34" s="1"/>
  <c r="AB169" i="34"/>
  <c r="AC169" i="34" s="1"/>
  <c r="Z169" i="34"/>
  <c r="AC168" i="34"/>
  <c r="AB168" i="34"/>
  <c r="Z168" i="34"/>
  <c r="AC167" i="34"/>
  <c r="AB167" i="34"/>
  <c r="Z167" i="34" s="1"/>
  <c r="AB166" i="34"/>
  <c r="AC166" i="34" s="1"/>
  <c r="Z166" i="34"/>
  <c r="AB165" i="34"/>
  <c r="AC165" i="34" s="1"/>
  <c r="AC164" i="34"/>
  <c r="AB164" i="34"/>
  <c r="Z164" i="34"/>
  <c r="AB163" i="34"/>
  <c r="Z163" i="34" s="1"/>
  <c r="AC162" i="34"/>
  <c r="AB162" i="34"/>
  <c r="Z162" i="34" s="1"/>
  <c r="AB161" i="34"/>
  <c r="AC161" i="34" s="1"/>
  <c r="Z161" i="34"/>
  <c r="AC160" i="34"/>
  <c r="AB160" i="34"/>
  <c r="Z160" i="34"/>
  <c r="AC159" i="34"/>
  <c r="AB159" i="34"/>
  <c r="Z159" i="34" s="1"/>
  <c r="AB158" i="34"/>
  <c r="AC158" i="34" s="1"/>
  <c r="Z158" i="34"/>
  <c r="AB157" i="34"/>
  <c r="AC157" i="34" s="1"/>
  <c r="AC156" i="34"/>
  <c r="AB156" i="34"/>
  <c r="Z156" i="34"/>
  <c r="AB155" i="34"/>
  <c r="Z155" i="34" s="1"/>
  <c r="AC154" i="34"/>
  <c r="AB154" i="34"/>
  <c r="Z154" i="34" s="1"/>
  <c r="AB153" i="34"/>
  <c r="AC153" i="34" s="1"/>
  <c r="Z153" i="34"/>
  <c r="AC152" i="34"/>
  <c r="AB152" i="34"/>
  <c r="Z152" i="34"/>
  <c r="AC151" i="34"/>
  <c r="AB151" i="34"/>
  <c r="Z151" i="34" s="1"/>
  <c r="AB150" i="34"/>
  <c r="AC150" i="34" s="1"/>
  <c r="Z150" i="34"/>
  <c r="AB149" i="34"/>
  <c r="AC149" i="34" s="1"/>
  <c r="AC148" i="34"/>
  <c r="AB148" i="34"/>
  <c r="Z148" i="34"/>
  <c r="AB147" i="34"/>
  <c r="Z147" i="34" s="1"/>
  <c r="AC146" i="34"/>
  <c r="AB146" i="34"/>
  <c r="Z146" i="34" s="1"/>
  <c r="AB145" i="34"/>
  <c r="AC145" i="34" s="1"/>
  <c r="Z145" i="34"/>
  <c r="AC144" i="34"/>
  <c r="AB144" i="34"/>
  <c r="Z144" i="34"/>
  <c r="AC143" i="34"/>
  <c r="AB143" i="34"/>
  <c r="Z143" i="34" s="1"/>
  <c r="AB142" i="34"/>
  <c r="AC142" i="34" s="1"/>
  <c r="Z142" i="34"/>
  <c r="AB141" i="34"/>
  <c r="AC141" i="34" s="1"/>
  <c r="AC140" i="34"/>
  <c r="AB140" i="34"/>
  <c r="Z140" i="34"/>
  <c r="AB139" i="34"/>
  <c r="Z139" i="34" s="1"/>
  <c r="AC138" i="34"/>
  <c r="AB138" i="34"/>
  <c r="Z138" i="34" s="1"/>
  <c r="AB137" i="34"/>
  <c r="AC137" i="34" s="1"/>
  <c r="Z137" i="34"/>
  <c r="AC136" i="34"/>
  <c r="AB136" i="34"/>
  <c r="Z136" i="34"/>
  <c r="AC135" i="34"/>
  <c r="AB135" i="34"/>
  <c r="Z135" i="34" s="1"/>
  <c r="AB134" i="34"/>
  <c r="AC134" i="34" s="1"/>
  <c r="Z134" i="34"/>
  <c r="AB133" i="34"/>
  <c r="AC133" i="34" s="1"/>
  <c r="AC132" i="34"/>
  <c r="AB132" i="34"/>
  <c r="Z132" i="34"/>
  <c r="AB131" i="34"/>
  <c r="Z131" i="34" s="1"/>
  <c r="AC130" i="34"/>
  <c r="AB130" i="34"/>
  <c r="Z130" i="34" s="1"/>
  <c r="AB129" i="34"/>
  <c r="AC129" i="34" s="1"/>
  <c r="Z129" i="34"/>
  <c r="AC128" i="34"/>
  <c r="AB128" i="34"/>
  <c r="Z128" i="34"/>
  <c r="AC127" i="34"/>
  <c r="AB127" i="34"/>
  <c r="Z127" i="34" s="1"/>
  <c r="AB126" i="34"/>
  <c r="AC126" i="34" s="1"/>
  <c r="Z126" i="34"/>
  <c r="AB125" i="34"/>
  <c r="AC125" i="34" s="1"/>
  <c r="AC124" i="34"/>
  <c r="AB124" i="34"/>
  <c r="Z124" i="34"/>
  <c r="AB123" i="34"/>
  <c r="Z123" i="34" s="1"/>
  <c r="AC122" i="34"/>
  <c r="AB122" i="34"/>
  <c r="Z122" i="34" s="1"/>
  <c r="AB121" i="34"/>
  <c r="AC121" i="34" s="1"/>
  <c r="Z121" i="34"/>
  <c r="AC120" i="34"/>
  <c r="AB120" i="34"/>
  <c r="Z120" i="34"/>
  <c r="AC119" i="34"/>
  <c r="AB119" i="34"/>
  <c r="Z119" i="34" s="1"/>
  <c r="AB118" i="34"/>
  <c r="AC118" i="34" s="1"/>
  <c r="Z118" i="34"/>
  <c r="AB117" i="34"/>
  <c r="AC117" i="34" s="1"/>
  <c r="AC116" i="34"/>
  <c r="AB116" i="34"/>
  <c r="Z116" i="34"/>
  <c r="AB115" i="34"/>
  <c r="Z115" i="34" s="1"/>
  <c r="AC114" i="34"/>
  <c r="AB114" i="34"/>
  <c r="Z114" i="34" s="1"/>
  <c r="AB113" i="34"/>
  <c r="AC113" i="34" s="1"/>
  <c r="Z113" i="34"/>
  <c r="AC112" i="34"/>
  <c r="AB112" i="34"/>
  <c r="Z112" i="34"/>
  <c r="AC111" i="34"/>
  <c r="AB111" i="34"/>
  <c r="Z111" i="34" s="1"/>
  <c r="AB110" i="34"/>
  <c r="AC110" i="34" s="1"/>
  <c r="Z110" i="34"/>
  <c r="AB109" i="34"/>
  <c r="AC109" i="34" s="1"/>
  <c r="AC108" i="34"/>
  <c r="AB108" i="34"/>
  <c r="Z108" i="34"/>
  <c r="AB107" i="34"/>
  <c r="Z107" i="34" s="1"/>
  <c r="AC106" i="34"/>
  <c r="AB106" i="34"/>
  <c r="Z106" i="34" s="1"/>
  <c r="AB105" i="34"/>
  <c r="AC105" i="34" s="1"/>
  <c r="Z105" i="34"/>
  <c r="AC104" i="34"/>
  <c r="AB104" i="34"/>
  <c r="Z104" i="34"/>
  <c r="AC103" i="34"/>
  <c r="AB103" i="34"/>
  <c r="Z103" i="34" s="1"/>
  <c r="AB102" i="34"/>
  <c r="AC102" i="34" s="1"/>
  <c r="Z102" i="34"/>
  <c r="AB101" i="34"/>
  <c r="AC101" i="34" s="1"/>
  <c r="AC100" i="34"/>
  <c r="AB100" i="34"/>
  <c r="Z100" i="34"/>
  <c r="AB99" i="34"/>
  <c r="Z99" i="34" s="1"/>
  <c r="AC98" i="34"/>
  <c r="AB98" i="34"/>
  <c r="Z98" i="34" s="1"/>
  <c r="AB97" i="34"/>
  <c r="AC97" i="34" s="1"/>
  <c r="Z97" i="34"/>
  <c r="AC96" i="34"/>
  <c r="AB96" i="34"/>
  <c r="Z96" i="34"/>
  <c r="AC95" i="34"/>
  <c r="AB95" i="34"/>
  <c r="Z95" i="34" s="1"/>
  <c r="AB94" i="34"/>
  <c r="AC94" i="34" s="1"/>
  <c r="Z94" i="34"/>
  <c r="AB93" i="34"/>
  <c r="AC93" i="34" s="1"/>
  <c r="AC92" i="34"/>
  <c r="AB92" i="34"/>
  <c r="Z92" i="34"/>
  <c r="AB91" i="34"/>
  <c r="Z91" i="34" s="1"/>
  <c r="AC90" i="34"/>
  <c r="AB90" i="34"/>
  <c r="Z90" i="34" s="1"/>
  <c r="AB89" i="34"/>
  <c r="AC89" i="34" s="1"/>
  <c r="Z89" i="34"/>
  <c r="AC88" i="34"/>
  <c r="AB88" i="34"/>
  <c r="Z88" i="34"/>
  <c r="AC87" i="34"/>
  <c r="AB87" i="34"/>
  <c r="Z87" i="34" s="1"/>
  <c r="AB86" i="34"/>
  <c r="AC86" i="34" s="1"/>
  <c r="Z86" i="34"/>
  <c r="AB85" i="34"/>
  <c r="AC85" i="34" s="1"/>
  <c r="AC84" i="34"/>
  <c r="AB84" i="34"/>
  <c r="Z84" i="34"/>
  <c r="AB83" i="34"/>
  <c r="Z83" i="34" s="1"/>
  <c r="AC82" i="34"/>
  <c r="AB82" i="34"/>
  <c r="Z82" i="34" s="1"/>
  <c r="AB81" i="34"/>
  <c r="AC81" i="34" s="1"/>
  <c r="Z81" i="34"/>
  <c r="AC80" i="34"/>
  <c r="AB80" i="34"/>
  <c r="Z80" i="34"/>
  <c r="AC79" i="34"/>
  <c r="AB79" i="34"/>
  <c r="Z79" i="34" s="1"/>
  <c r="AB78" i="34"/>
  <c r="AC78" i="34" s="1"/>
  <c r="Z78" i="34"/>
  <c r="AB77" i="34"/>
  <c r="AC77" i="34" s="1"/>
  <c r="AC76" i="34"/>
  <c r="AB76" i="34"/>
  <c r="Z76" i="34"/>
  <c r="AB75" i="34"/>
  <c r="Z75" i="34" s="1"/>
  <c r="AC74" i="34"/>
  <c r="AB74" i="34"/>
  <c r="Z74" i="34" s="1"/>
  <c r="AB73" i="34"/>
  <c r="AC73" i="34" s="1"/>
  <c r="Z73" i="34"/>
  <c r="AC72" i="34"/>
  <c r="AB72" i="34"/>
  <c r="Z72" i="34"/>
  <c r="AC71" i="34"/>
  <c r="AB71" i="34"/>
  <c r="Z71" i="34" s="1"/>
  <c r="C71" i="34"/>
  <c r="AB70" i="34"/>
  <c r="Z70" i="34" s="1"/>
  <c r="AB69" i="34"/>
  <c r="Z69" i="34" s="1"/>
  <c r="C69" i="34"/>
  <c r="AC68" i="34"/>
  <c r="AB68" i="34"/>
  <c r="Z68" i="34" s="1"/>
  <c r="C68" i="34"/>
  <c r="C70" i="34" s="1"/>
  <c r="AC67" i="34"/>
  <c r="AB67" i="34"/>
  <c r="Z67" i="34" s="1"/>
  <c r="C67" i="34"/>
  <c r="AB66" i="34"/>
  <c r="Z66" i="34" s="1"/>
  <c r="AC65" i="34"/>
  <c r="AB65" i="34"/>
  <c r="Z65" i="34"/>
  <c r="AB64" i="34"/>
  <c r="AC64" i="34" s="1"/>
  <c r="AC63" i="34"/>
  <c r="AB63" i="34"/>
  <c r="Z63" i="34"/>
  <c r="AC62" i="34"/>
  <c r="AB62" i="34"/>
  <c r="Z62" i="34" s="1"/>
  <c r="AB61" i="34"/>
  <c r="Z61" i="34" s="1"/>
  <c r="AB60" i="34"/>
  <c r="AC60" i="34" s="1"/>
  <c r="Z60" i="34"/>
  <c r="AC59" i="34"/>
  <c r="AB59" i="34"/>
  <c r="Z59" i="34"/>
  <c r="L59" i="34"/>
  <c r="AC58" i="34"/>
  <c r="AB58" i="34"/>
  <c r="Z58" i="34"/>
  <c r="AB57" i="34"/>
  <c r="AC57" i="34" s="1"/>
  <c r="AB56" i="34"/>
  <c r="AC56" i="34" s="1"/>
  <c r="Z56" i="34"/>
  <c r="AB55" i="34"/>
  <c r="AC55" i="34" s="1"/>
  <c r="Z55" i="34"/>
  <c r="B55" i="34"/>
  <c r="AB54" i="34"/>
  <c r="AC54" i="34" s="1"/>
  <c r="B54" i="34"/>
  <c r="AB53" i="34"/>
  <c r="AC53" i="34" s="1"/>
  <c r="AC52" i="34"/>
  <c r="AB52" i="34"/>
  <c r="Z52" i="34"/>
  <c r="AC51" i="34"/>
  <c r="AB51" i="34"/>
  <c r="Z51" i="34" s="1"/>
  <c r="AB50" i="34"/>
  <c r="Z50" i="34" s="1"/>
  <c r="AB49" i="34"/>
  <c r="AC49" i="34" s="1"/>
  <c r="Z49" i="34"/>
  <c r="AB48" i="34"/>
  <c r="AC48" i="34" s="1"/>
  <c r="Z48" i="34"/>
  <c r="AC47" i="34"/>
  <c r="AB47" i="34"/>
  <c r="Z47" i="34"/>
  <c r="AC46" i="34"/>
  <c r="AB46" i="34"/>
  <c r="Z46" i="34"/>
  <c r="AC45" i="34"/>
  <c r="AB45" i="34"/>
  <c r="Z45" i="34"/>
  <c r="AC44" i="34"/>
  <c r="AB44" i="34"/>
  <c r="Z44" i="34" s="1"/>
  <c r="L44" i="34"/>
  <c r="AB43" i="34"/>
  <c r="AC43" i="34" s="1"/>
  <c r="Z43" i="34"/>
  <c r="AB42" i="34"/>
  <c r="Z42" i="34" s="1"/>
  <c r="AB41" i="34"/>
  <c r="Z41" i="34" s="1"/>
  <c r="AB40" i="34"/>
  <c r="Z40" i="34" s="1"/>
  <c r="AC39" i="34"/>
  <c r="AB39" i="34"/>
  <c r="Z39" i="34" s="1"/>
  <c r="AB38" i="34"/>
  <c r="Z38" i="34" s="1"/>
  <c r="AB37" i="34"/>
  <c r="AC37" i="34" s="1"/>
  <c r="Z37" i="34"/>
  <c r="AC36" i="34"/>
  <c r="AB36" i="34"/>
  <c r="Z36" i="34"/>
  <c r="C36" i="34"/>
  <c r="AC35" i="34"/>
  <c r="AB35" i="34"/>
  <c r="Z35" i="34"/>
  <c r="AC34" i="34"/>
  <c r="AB34" i="34"/>
  <c r="Z34" i="34" s="1"/>
  <c r="AC33" i="34"/>
  <c r="AB33" i="34"/>
  <c r="Z33" i="34" s="1"/>
  <c r="L33" i="34"/>
  <c r="L34" i="34" s="1"/>
  <c r="AC32" i="34"/>
  <c r="AB32" i="34"/>
  <c r="Z32" i="34" s="1"/>
  <c r="AC31" i="34"/>
  <c r="AB31" i="34"/>
  <c r="Z31" i="34" s="1"/>
  <c r="AB30" i="34"/>
  <c r="Z30" i="34" s="1"/>
  <c r="AB29" i="34"/>
  <c r="Z29" i="34" s="1"/>
  <c r="AB28" i="34"/>
  <c r="Z28" i="34" s="1"/>
  <c r="AB27" i="34"/>
  <c r="Z27" i="34" s="1"/>
  <c r="AC26" i="34"/>
  <c r="AB26" i="34"/>
  <c r="Z26" i="34" s="1"/>
  <c r="AB25" i="34"/>
  <c r="Z25" i="34" s="1"/>
  <c r="C25" i="34"/>
  <c r="AC24" i="34"/>
  <c r="AB24" i="34"/>
  <c r="Z24" i="34" s="1"/>
  <c r="AC23" i="34"/>
  <c r="AB23" i="34"/>
  <c r="Z23" i="34"/>
  <c r="C23" i="34"/>
  <c r="C24" i="34" s="1"/>
  <c r="AB22" i="34"/>
  <c r="AC22" i="34" s="1"/>
  <c r="Z22" i="34"/>
  <c r="AC21" i="34"/>
  <c r="AB21" i="34"/>
  <c r="Z21" i="34"/>
  <c r="AB20" i="34"/>
  <c r="AC20" i="34" s="1"/>
  <c r="Z20" i="34"/>
  <c r="AB19" i="34"/>
  <c r="AC19" i="34" s="1"/>
  <c r="Z19" i="34"/>
  <c r="AB18" i="34"/>
  <c r="AC18" i="34" s="1"/>
  <c r="Z18" i="34"/>
  <c r="AB17" i="34"/>
  <c r="Z17" i="34" s="1"/>
  <c r="AC16" i="34"/>
  <c r="AB16" i="34"/>
  <c r="Z16" i="34"/>
  <c r="AC15" i="34"/>
  <c r="AB15" i="34"/>
  <c r="Z15" i="34" s="1"/>
  <c r="AC14" i="34"/>
  <c r="AB14" i="34"/>
  <c r="Z14" i="34" s="1"/>
  <c r="AC13" i="34"/>
  <c r="AB13" i="34"/>
  <c r="Z13" i="34"/>
  <c r="AB12" i="34"/>
  <c r="AC12" i="34" s="1"/>
  <c r="Z12" i="34"/>
  <c r="C3" i="34"/>
  <c r="C6" i="34" s="1"/>
  <c r="E197" i="33"/>
  <c r="D197" i="33"/>
  <c r="C197" i="33"/>
  <c r="B197" i="33"/>
  <c r="A197" i="33"/>
  <c r="E196" i="33"/>
  <c r="D196" i="33"/>
  <c r="C196" i="33"/>
  <c r="B196" i="33"/>
  <c r="A196" i="33"/>
  <c r="E195" i="33"/>
  <c r="D195" i="33"/>
  <c r="C195" i="33"/>
  <c r="B195" i="33"/>
  <c r="A195" i="33"/>
  <c r="E194" i="33"/>
  <c r="D194" i="33"/>
  <c r="C194" i="33"/>
  <c r="B194" i="33"/>
  <c r="A194" i="33"/>
  <c r="E193" i="33"/>
  <c r="D193" i="33"/>
  <c r="C193" i="33"/>
  <c r="B193" i="33"/>
  <c r="A193" i="33"/>
  <c r="E192" i="33"/>
  <c r="D192" i="33"/>
  <c r="C192" i="33"/>
  <c r="B192" i="33"/>
  <c r="A192" i="33"/>
  <c r="E191" i="33"/>
  <c r="D191" i="33"/>
  <c r="C191" i="33"/>
  <c r="B191" i="33"/>
  <c r="A191" i="33"/>
  <c r="E190" i="33"/>
  <c r="D190" i="33"/>
  <c r="C190" i="33"/>
  <c r="B190" i="33"/>
  <c r="A190" i="33"/>
  <c r="E189" i="33"/>
  <c r="D189" i="33"/>
  <c r="C189" i="33"/>
  <c r="B189" i="33"/>
  <c r="A189" i="33"/>
  <c r="E188" i="33"/>
  <c r="D188" i="33"/>
  <c r="C188" i="33"/>
  <c r="B188" i="33"/>
  <c r="A188" i="33"/>
  <c r="E187" i="33"/>
  <c r="D187" i="33"/>
  <c r="C187" i="33"/>
  <c r="B187" i="33"/>
  <c r="A187" i="33"/>
  <c r="E186" i="33"/>
  <c r="D186" i="33"/>
  <c r="C186" i="33"/>
  <c r="B186" i="33"/>
  <c r="A186" i="33"/>
  <c r="E185" i="33"/>
  <c r="D185" i="33"/>
  <c r="C185" i="33"/>
  <c r="B185" i="33"/>
  <c r="A185" i="33"/>
  <c r="E184" i="33"/>
  <c r="D184" i="33"/>
  <c r="C184" i="33"/>
  <c r="B184" i="33"/>
  <c r="A184" i="33"/>
  <c r="E183" i="33"/>
  <c r="D183" i="33"/>
  <c r="C183" i="33"/>
  <c r="B183" i="33"/>
  <c r="A183" i="33"/>
  <c r="E182" i="33"/>
  <c r="D182" i="33"/>
  <c r="C182" i="33"/>
  <c r="B182" i="33"/>
  <c r="A182" i="33"/>
  <c r="E181" i="33"/>
  <c r="D181" i="33"/>
  <c r="C181" i="33"/>
  <c r="B181" i="33"/>
  <c r="A181" i="33"/>
  <c r="E180" i="33"/>
  <c r="D180" i="33"/>
  <c r="C180" i="33"/>
  <c r="B180" i="33"/>
  <c r="A180" i="33"/>
  <c r="E179" i="33"/>
  <c r="D179" i="33"/>
  <c r="C179" i="33"/>
  <c r="B179" i="33"/>
  <c r="A179" i="33"/>
  <c r="E178" i="33"/>
  <c r="D178" i="33"/>
  <c r="C178" i="33"/>
  <c r="B178" i="33"/>
  <c r="A178" i="33"/>
  <c r="E177" i="33"/>
  <c r="D177" i="33"/>
  <c r="C177" i="33"/>
  <c r="B177" i="33"/>
  <c r="A177" i="33"/>
  <c r="E176" i="33"/>
  <c r="D176" i="33"/>
  <c r="C176" i="33"/>
  <c r="B176" i="33"/>
  <c r="A176" i="33"/>
  <c r="E175" i="33"/>
  <c r="D175" i="33"/>
  <c r="C175" i="33"/>
  <c r="B175" i="33"/>
  <c r="A175" i="33"/>
  <c r="E174" i="33"/>
  <c r="D174" i="33"/>
  <c r="C174" i="33"/>
  <c r="B174" i="33"/>
  <c r="A174" i="33"/>
  <c r="E173" i="33"/>
  <c r="D173" i="33"/>
  <c r="C173" i="33"/>
  <c r="B173" i="33"/>
  <c r="A173" i="33"/>
  <c r="E172" i="33"/>
  <c r="D172" i="33"/>
  <c r="C172" i="33"/>
  <c r="B172" i="33"/>
  <c r="A172" i="33"/>
  <c r="E171" i="33"/>
  <c r="D171" i="33"/>
  <c r="C171" i="33"/>
  <c r="B171" i="33"/>
  <c r="A171" i="33"/>
  <c r="E170" i="33"/>
  <c r="D170" i="33"/>
  <c r="C170" i="33"/>
  <c r="B170" i="33"/>
  <c r="A170" i="33"/>
  <c r="E169" i="33"/>
  <c r="D169" i="33"/>
  <c r="C169" i="33"/>
  <c r="B169" i="33"/>
  <c r="A169" i="33"/>
  <c r="E168" i="33"/>
  <c r="D168" i="33"/>
  <c r="C168" i="33"/>
  <c r="B168" i="33"/>
  <c r="A168" i="33"/>
  <c r="E167" i="33"/>
  <c r="D167" i="33"/>
  <c r="C167" i="33"/>
  <c r="B167" i="33"/>
  <c r="A167" i="33"/>
  <c r="E166" i="33"/>
  <c r="D166" i="33"/>
  <c r="C166" i="33"/>
  <c r="B166" i="33"/>
  <c r="A166" i="33"/>
  <c r="E165" i="33"/>
  <c r="D165" i="33"/>
  <c r="C165" i="33"/>
  <c r="B165" i="33"/>
  <c r="A165" i="33"/>
  <c r="E164" i="33"/>
  <c r="D164" i="33"/>
  <c r="C164" i="33"/>
  <c r="B164" i="33"/>
  <c r="A164" i="33"/>
  <c r="E163" i="33"/>
  <c r="D163" i="33"/>
  <c r="C163" i="33"/>
  <c r="B163" i="33"/>
  <c r="A163" i="33"/>
  <c r="E162" i="33"/>
  <c r="D162" i="33"/>
  <c r="C162" i="33"/>
  <c r="B162" i="33"/>
  <c r="A162" i="33"/>
  <c r="E161" i="33"/>
  <c r="D161" i="33"/>
  <c r="C161" i="33"/>
  <c r="B161" i="33"/>
  <c r="A161" i="33"/>
  <c r="E160" i="33"/>
  <c r="D160" i="33"/>
  <c r="C160" i="33"/>
  <c r="B160" i="33"/>
  <c r="A160" i="33"/>
  <c r="E159" i="33"/>
  <c r="D159" i="33"/>
  <c r="C159" i="33"/>
  <c r="B159" i="33"/>
  <c r="A159" i="33"/>
  <c r="E158" i="33"/>
  <c r="D158" i="33"/>
  <c r="C158" i="33"/>
  <c r="B158" i="33"/>
  <c r="A158" i="33"/>
  <c r="E157" i="33"/>
  <c r="D157" i="33"/>
  <c r="C157" i="33"/>
  <c r="B157" i="33"/>
  <c r="A157" i="33"/>
  <c r="E156" i="33"/>
  <c r="D156" i="33"/>
  <c r="C156" i="33"/>
  <c r="B156" i="33"/>
  <c r="A156" i="33"/>
  <c r="E155" i="33"/>
  <c r="D155" i="33"/>
  <c r="C155" i="33"/>
  <c r="B155" i="33"/>
  <c r="A155" i="33"/>
  <c r="E154" i="33"/>
  <c r="D154" i="33"/>
  <c r="C154" i="33"/>
  <c r="B154" i="33"/>
  <c r="A154" i="33"/>
  <c r="E153" i="33"/>
  <c r="D153" i="33"/>
  <c r="C153" i="33"/>
  <c r="B153" i="33"/>
  <c r="A153" i="33"/>
  <c r="E152" i="33"/>
  <c r="D152" i="33"/>
  <c r="C152" i="33"/>
  <c r="B152" i="33"/>
  <c r="A152" i="33"/>
  <c r="E151" i="33"/>
  <c r="D151" i="33"/>
  <c r="C151" i="33"/>
  <c r="B151" i="33"/>
  <c r="A151" i="33"/>
  <c r="E150" i="33"/>
  <c r="D150" i="33"/>
  <c r="C150" i="33"/>
  <c r="B150" i="33"/>
  <c r="A150" i="33"/>
  <c r="E149" i="33"/>
  <c r="D149" i="33"/>
  <c r="C149" i="33"/>
  <c r="B149" i="33"/>
  <c r="A149" i="33"/>
  <c r="E148" i="33"/>
  <c r="D148" i="33"/>
  <c r="C148" i="33"/>
  <c r="B148" i="33"/>
  <c r="A148" i="33"/>
  <c r="E147" i="33"/>
  <c r="D147" i="33"/>
  <c r="C147" i="33"/>
  <c r="B147" i="33"/>
  <c r="A147" i="33"/>
  <c r="E146" i="33"/>
  <c r="D146" i="33"/>
  <c r="C146" i="33"/>
  <c r="B146" i="33"/>
  <c r="A146" i="33"/>
  <c r="E145" i="33"/>
  <c r="D145" i="33"/>
  <c r="C145" i="33"/>
  <c r="B145" i="33"/>
  <c r="A145" i="33"/>
  <c r="E144" i="33"/>
  <c r="D144" i="33"/>
  <c r="C144" i="33"/>
  <c r="B144" i="33"/>
  <c r="A144" i="33"/>
  <c r="E143" i="33"/>
  <c r="D143" i="33"/>
  <c r="C143" i="33"/>
  <c r="B143" i="33"/>
  <c r="A143" i="33"/>
  <c r="E142" i="33"/>
  <c r="D142" i="33"/>
  <c r="C142" i="33"/>
  <c r="B142" i="33"/>
  <c r="A142" i="33"/>
  <c r="E141" i="33"/>
  <c r="D141" i="33"/>
  <c r="C141" i="33"/>
  <c r="B141" i="33"/>
  <c r="A141" i="33"/>
  <c r="E140" i="33"/>
  <c r="D140" i="33"/>
  <c r="C140" i="33"/>
  <c r="B140" i="33"/>
  <c r="A140" i="33"/>
  <c r="E139" i="33"/>
  <c r="D139" i="33"/>
  <c r="C139" i="33"/>
  <c r="B139" i="33"/>
  <c r="A139" i="33"/>
  <c r="E138" i="33"/>
  <c r="D138" i="33"/>
  <c r="C138" i="33"/>
  <c r="B138" i="33"/>
  <c r="A138" i="33"/>
  <c r="E137" i="33"/>
  <c r="D137" i="33"/>
  <c r="C137" i="33"/>
  <c r="B137" i="33"/>
  <c r="A137" i="33"/>
  <c r="E136" i="33"/>
  <c r="D136" i="33"/>
  <c r="C136" i="33"/>
  <c r="B136" i="33"/>
  <c r="A136" i="33"/>
  <c r="E135" i="33"/>
  <c r="D135" i="33"/>
  <c r="C135" i="33"/>
  <c r="B135" i="33"/>
  <c r="A135" i="33"/>
  <c r="E134" i="33"/>
  <c r="D134" i="33"/>
  <c r="C134" i="33"/>
  <c r="B134" i="33"/>
  <c r="A134" i="33"/>
  <c r="E133" i="33"/>
  <c r="D133" i="33"/>
  <c r="C133" i="33"/>
  <c r="B133" i="33"/>
  <c r="A133" i="33"/>
  <c r="E132" i="33"/>
  <c r="D132" i="33"/>
  <c r="C132" i="33"/>
  <c r="B132" i="33"/>
  <c r="A132" i="33"/>
  <c r="E131" i="33"/>
  <c r="D131" i="33"/>
  <c r="C131" i="33"/>
  <c r="B131" i="33"/>
  <c r="A131" i="33"/>
  <c r="E130" i="33"/>
  <c r="D130" i="33"/>
  <c r="C130" i="33"/>
  <c r="B130" i="33"/>
  <c r="A130" i="33"/>
  <c r="E129" i="33"/>
  <c r="D129" i="33"/>
  <c r="C129" i="33"/>
  <c r="B129" i="33"/>
  <c r="A129" i="33"/>
  <c r="E128" i="33"/>
  <c r="D128" i="33"/>
  <c r="C128" i="33"/>
  <c r="B128" i="33"/>
  <c r="A128" i="33"/>
  <c r="E127" i="33"/>
  <c r="D127" i="33"/>
  <c r="C127" i="33"/>
  <c r="B127" i="33"/>
  <c r="A127" i="33"/>
  <c r="E126" i="33"/>
  <c r="D126" i="33"/>
  <c r="C126" i="33"/>
  <c r="B126" i="33"/>
  <c r="A126" i="33"/>
  <c r="E125" i="33"/>
  <c r="D125" i="33"/>
  <c r="C125" i="33"/>
  <c r="B125" i="33"/>
  <c r="A125" i="33"/>
  <c r="E124" i="33"/>
  <c r="D124" i="33"/>
  <c r="C124" i="33"/>
  <c r="B124" i="33"/>
  <c r="A124" i="33"/>
  <c r="E123" i="33"/>
  <c r="D123" i="33"/>
  <c r="C123" i="33"/>
  <c r="B123" i="33"/>
  <c r="A123" i="33"/>
  <c r="E122" i="33"/>
  <c r="D122" i="33"/>
  <c r="C122" i="33"/>
  <c r="B122" i="33"/>
  <c r="A122" i="33"/>
  <c r="E121" i="33"/>
  <c r="D121" i="33"/>
  <c r="C121" i="33"/>
  <c r="B121" i="33"/>
  <c r="A121" i="33"/>
  <c r="E120" i="33"/>
  <c r="D120" i="33"/>
  <c r="C120" i="33"/>
  <c r="B120" i="33"/>
  <c r="A120" i="33"/>
  <c r="E119" i="33"/>
  <c r="D119" i="33"/>
  <c r="C119" i="33"/>
  <c r="B119" i="33"/>
  <c r="A119" i="33"/>
  <c r="E118" i="33"/>
  <c r="D118" i="33"/>
  <c r="C118" i="33"/>
  <c r="B118" i="33"/>
  <c r="A118" i="33"/>
  <c r="E117" i="33"/>
  <c r="D117" i="33"/>
  <c r="C117" i="33"/>
  <c r="B117" i="33"/>
  <c r="A117" i="33"/>
  <c r="E116" i="33"/>
  <c r="D116" i="33"/>
  <c r="C116" i="33"/>
  <c r="B116" i="33"/>
  <c r="A116" i="33"/>
  <c r="E115" i="33"/>
  <c r="D115" i="33"/>
  <c r="C115" i="33"/>
  <c r="B115" i="33"/>
  <c r="A115" i="33"/>
  <c r="E114" i="33"/>
  <c r="D114" i="33"/>
  <c r="C114" i="33"/>
  <c r="B114" i="33"/>
  <c r="A114" i="33"/>
  <c r="E113" i="33"/>
  <c r="D113" i="33"/>
  <c r="C113" i="33"/>
  <c r="B113" i="33"/>
  <c r="A113" i="33"/>
  <c r="E112" i="33"/>
  <c r="D112" i="33"/>
  <c r="C112" i="33"/>
  <c r="B112" i="33"/>
  <c r="A112" i="33"/>
  <c r="E111" i="33"/>
  <c r="D111" i="33"/>
  <c r="C111" i="33"/>
  <c r="B111" i="33"/>
  <c r="A111" i="33"/>
  <c r="E110" i="33"/>
  <c r="D110" i="33"/>
  <c r="C110" i="33"/>
  <c r="B110" i="33"/>
  <c r="A110" i="33"/>
  <c r="E109" i="33"/>
  <c r="D109" i="33"/>
  <c r="C109" i="33"/>
  <c r="B109" i="33"/>
  <c r="A109" i="33"/>
  <c r="E108" i="33"/>
  <c r="D108" i="33"/>
  <c r="C108" i="33"/>
  <c r="B108" i="33"/>
  <c r="A108" i="33"/>
  <c r="E107" i="33"/>
  <c r="D107" i="33"/>
  <c r="C107" i="33"/>
  <c r="B107" i="33"/>
  <c r="A107" i="33"/>
  <c r="E106" i="33"/>
  <c r="D106" i="33"/>
  <c r="C106" i="33"/>
  <c r="B106" i="33"/>
  <c r="A106" i="33"/>
  <c r="E105" i="33"/>
  <c r="D105" i="33"/>
  <c r="C105" i="33"/>
  <c r="B105" i="33"/>
  <c r="A105" i="33"/>
  <c r="E104" i="33"/>
  <c r="D104" i="33"/>
  <c r="C104" i="33"/>
  <c r="B104" i="33"/>
  <c r="A104" i="33"/>
  <c r="E103" i="33"/>
  <c r="D103" i="33"/>
  <c r="C103" i="33"/>
  <c r="B103" i="33"/>
  <c r="A103" i="33"/>
  <c r="E102" i="33"/>
  <c r="D102" i="33"/>
  <c r="C102" i="33"/>
  <c r="B102" i="33"/>
  <c r="A102" i="33"/>
  <c r="E101" i="33"/>
  <c r="D101" i="33"/>
  <c r="C101" i="33"/>
  <c r="B101" i="33"/>
  <c r="A101" i="33"/>
  <c r="E100" i="33"/>
  <c r="D100" i="33"/>
  <c r="C100" i="33"/>
  <c r="B100" i="33"/>
  <c r="A100" i="33"/>
  <c r="E99" i="33"/>
  <c r="D99" i="33"/>
  <c r="C99" i="33"/>
  <c r="B99" i="33"/>
  <c r="A99" i="33"/>
  <c r="E98" i="33"/>
  <c r="D98" i="33"/>
  <c r="C98" i="33"/>
  <c r="B98" i="33"/>
  <c r="A98" i="33"/>
  <c r="E97" i="33"/>
  <c r="D97" i="33"/>
  <c r="C97" i="33"/>
  <c r="B97" i="33"/>
  <c r="A97" i="33"/>
  <c r="E96" i="33"/>
  <c r="D96" i="33"/>
  <c r="C96" i="33"/>
  <c r="B96" i="33"/>
  <c r="A96" i="33"/>
  <c r="E95" i="33"/>
  <c r="D95" i="33"/>
  <c r="C95" i="33"/>
  <c r="B95" i="33"/>
  <c r="A95" i="33"/>
  <c r="E94" i="33"/>
  <c r="D94" i="33"/>
  <c r="C94" i="33"/>
  <c r="B94" i="33"/>
  <c r="A94" i="33"/>
  <c r="E93" i="33"/>
  <c r="D93" i="33"/>
  <c r="C93" i="33"/>
  <c r="B93" i="33"/>
  <c r="A93" i="33"/>
  <c r="E92" i="33"/>
  <c r="D92" i="33"/>
  <c r="C92" i="33"/>
  <c r="B92" i="33"/>
  <c r="A92" i="33"/>
  <c r="E91" i="33"/>
  <c r="D91" i="33"/>
  <c r="C91" i="33"/>
  <c r="B91" i="33"/>
  <c r="A91" i="33"/>
  <c r="E90" i="33"/>
  <c r="D90" i="33"/>
  <c r="C90" i="33"/>
  <c r="B90" i="33"/>
  <c r="A90" i="33"/>
  <c r="E89" i="33"/>
  <c r="D89" i="33"/>
  <c r="C89" i="33"/>
  <c r="B89" i="33"/>
  <c r="A89" i="33"/>
  <c r="E88" i="33"/>
  <c r="D88" i="33"/>
  <c r="C88" i="33"/>
  <c r="B88" i="33"/>
  <c r="A88" i="33"/>
  <c r="E87" i="33"/>
  <c r="D87" i="33"/>
  <c r="C87" i="33"/>
  <c r="B87" i="33"/>
  <c r="A87" i="33"/>
  <c r="E86" i="33"/>
  <c r="D86" i="33"/>
  <c r="C86" i="33"/>
  <c r="B86" i="33"/>
  <c r="A86" i="33"/>
  <c r="E85" i="33"/>
  <c r="D85" i="33"/>
  <c r="C85" i="33"/>
  <c r="B85" i="33"/>
  <c r="A85" i="33"/>
  <c r="E84" i="33"/>
  <c r="D84" i="33"/>
  <c r="C84" i="33"/>
  <c r="B84" i="33"/>
  <c r="A84" i="33"/>
  <c r="E83" i="33"/>
  <c r="D83" i="33"/>
  <c r="C83" i="33"/>
  <c r="B83" i="33"/>
  <c r="A83" i="33"/>
  <c r="E82" i="33"/>
  <c r="D82" i="33"/>
  <c r="C82" i="33"/>
  <c r="B82" i="33"/>
  <c r="A82" i="33"/>
  <c r="E81" i="33"/>
  <c r="D81" i="33"/>
  <c r="C81" i="33"/>
  <c r="B81" i="33"/>
  <c r="A81" i="33"/>
  <c r="E80" i="33"/>
  <c r="D80" i="33"/>
  <c r="C80" i="33"/>
  <c r="B80" i="33"/>
  <c r="A80" i="33"/>
  <c r="E79" i="33"/>
  <c r="D79" i="33"/>
  <c r="C79" i="33"/>
  <c r="B79" i="33"/>
  <c r="A79" i="33"/>
  <c r="E78" i="33"/>
  <c r="D78" i="33"/>
  <c r="C78" i="33"/>
  <c r="B78" i="33"/>
  <c r="A78" i="33"/>
  <c r="E77" i="33"/>
  <c r="D77" i="33"/>
  <c r="C77" i="33"/>
  <c r="B77" i="33"/>
  <c r="A77" i="33"/>
  <c r="E76" i="33"/>
  <c r="D76" i="33"/>
  <c r="C76" i="33"/>
  <c r="B76" i="33"/>
  <c r="A76" i="33"/>
  <c r="E75" i="33"/>
  <c r="D75" i="33"/>
  <c r="C75" i="33"/>
  <c r="B75" i="33"/>
  <c r="A75" i="33"/>
  <c r="E74" i="33"/>
  <c r="D74" i="33"/>
  <c r="C74" i="33"/>
  <c r="B74" i="33"/>
  <c r="A74" i="33"/>
  <c r="E73" i="33"/>
  <c r="D73" i="33"/>
  <c r="C73" i="33"/>
  <c r="B73" i="33"/>
  <c r="A73" i="33"/>
  <c r="E72" i="33"/>
  <c r="D72" i="33"/>
  <c r="C72" i="33"/>
  <c r="B72" i="33"/>
  <c r="A72" i="33"/>
  <c r="E71" i="33"/>
  <c r="D71" i="33"/>
  <c r="C71" i="33"/>
  <c r="B71" i="33"/>
  <c r="A71" i="33"/>
  <c r="E70" i="33"/>
  <c r="D70" i="33"/>
  <c r="C70" i="33"/>
  <c r="B70" i="33"/>
  <c r="A70" i="33"/>
  <c r="E69" i="33"/>
  <c r="D69" i="33"/>
  <c r="C69" i="33"/>
  <c r="B69" i="33"/>
  <c r="A69" i="33"/>
  <c r="E68" i="33"/>
  <c r="D68" i="33"/>
  <c r="C68" i="33"/>
  <c r="B68" i="33"/>
  <c r="A68" i="33"/>
  <c r="E67" i="33"/>
  <c r="D67" i="33"/>
  <c r="C67" i="33"/>
  <c r="B67" i="33"/>
  <c r="A67" i="33"/>
  <c r="E66" i="33"/>
  <c r="D66" i="33"/>
  <c r="C66" i="33"/>
  <c r="B66" i="33"/>
  <c r="A66" i="33"/>
  <c r="E65" i="33"/>
  <c r="D65" i="33"/>
  <c r="C65" i="33"/>
  <c r="B65" i="33"/>
  <c r="A65" i="33"/>
  <c r="E64" i="33"/>
  <c r="D64" i="33"/>
  <c r="C64" i="33"/>
  <c r="B64" i="33"/>
  <c r="A64" i="33"/>
  <c r="E63" i="33"/>
  <c r="D63" i="33"/>
  <c r="C63" i="33"/>
  <c r="B63" i="33"/>
  <c r="A63" i="33"/>
  <c r="E62" i="33"/>
  <c r="D62" i="33"/>
  <c r="C62" i="33"/>
  <c r="B62" i="33"/>
  <c r="A62" i="33"/>
  <c r="E61" i="33"/>
  <c r="D61" i="33"/>
  <c r="C61" i="33"/>
  <c r="B61" i="33"/>
  <c r="A61" i="33"/>
  <c r="E60" i="33"/>
  <c r="D60" i="33"/>
  <c r="C60" i="33"/>
  <c r="B60" i="33"/>
  <c r="A60" i="33"/>
  <c r="E59" i="33"/>
  <c r="D59" i="33"/>
  <c r="C59" i="33"/>
  <c r="B59" i="33"/>
  <c r="A59" i="33"/>
  <c r="E58" i="33"/>
  <c r="D58" i="33"/>
  <c r="C58" i="33"/>
  <c r="B58" i="33"/>
  <c r="A58" i="33"/>
  <c r="E57" i="33"/>
  <c r="D57" i="33"/>
  <c r="C57" i="33"/>
  <c r="B57" i="33"/>
  <c r="A57" i="33"/>
  <c r="E56" i="33"/>
  <c r="D56" i="33"/>
  <c r="C56" i="33"/>
  <c r="B56" i="33"/>
  <c r="A56" i="33"/>
  <c r="E55" i="33"/>
  <c r="D55" i="33"/>
  <c r="C55" i="33"/>
  <c r="B55" i="33"/>
  <c r="A55" i="33"/>
  <c r="A54" i="33"/>
  <c r="D24" i="33"/>
  <c r="F20" i="33"/>
  <c r="F19" i="33"/>
  <c r="F14" i="33"/>
  <c r="D9" i="33"/>
  <c r="F7" i="33"/>
  <c r="C5" i="34" s="1"/>
  <c r="D5" i="33"/>
  <c r="L4" i="33"/>
  <c r="F4" i="33"/>
  <c r="F5" i="33" s="1"/>
  <c r="L3" i="33"/>
  <c r="D9" i="42" l="1"/>
  <c r="C23" i="43"/>
  <c r="C24" i="43" s="1"/>
  <c r="C4" i="34"/>
  <c r="S14" i="34" s="1"/>
  <c r="S17" i="34"/>
  <c r="S18" i="34" s="1"/>
  <c r="B56" i="34"/>
  <c r="B59" i="34" s="1"/>
  <c r="S13" i="34"/>
  <c r="C17" i="34"/>
  <c r="B42" i="34" s="1"/>
  <c r="C20" i="34"/>
  <c r="D44" i="34" s="1"/>
  <c r="C21" i="34"/>
  <c r="C7" i="34"/>
  <c r="C8" i="34" s="1"/>
  <c r="C11" i="34" s="1"/>
  <c r="C13" i="34" s="1"/>
  <c r="C7" i="47"/>
  <c r="C15" i="47" s="1"/>
  <c r="C3" i="45"/>
  <c r="C4" i="45" s="1"/>
  <c r="F5" i="49"/>
  <c r="F6" i="49" s="1"/>
  <c r="B5" i="49"/>
  <c r="B6" i="49" s="1"/>
  <c r="F4" i="42"/>
  <c r="F5" i="42" s="1"/>
  <c r="Z26" i="43"/>
  <c r="AC26" i="43"/>
  <c r="AC43" i="43"/>
  <c r="Z43" i="43"/>
  <c r="Z203" i="43"/>
  <c r="AC203" i="43"/>
  <c r="AC251" i="43"/>
  <c r="Z251" i="43"/>
  <c r="AC255" i="43"/>
  <c r="Z255" i="43"/>
  <c r="Z257" i="43"/>
  <c r="AC257" i="43"/>
  <c r="Z261" i="43"/>
  <c r="AC261" i="43"/>
  <c r="Z265" i="43"/>
  <c r="AC265" i="43"/>
  <c r="AC267" i="43"/>
  <c r="Z267" i="43"/>
  <c r="AC271" i="43"/>
  <c r="Z271" i="43"/>
  <c r="Z273" i="43"/>
  <c r="AC273" i="43"/>
  <c r="Z277" i="43"/>
  <c r="AC277" i="43"/>
  <c r="AC279" i="43"/>
  <c r="Z279" i="43"/>
  <c r="AC283" i="43"/>
  <c r="Z283" i="43"/>
  <c r="AC287" i="43"/>
  <c r="Z287" i="43"/>
  <c r="Z289" i="43"/>
  <c r="AC289" i="43"/>
  <c r="Z293" i="43"/>
  <c r="AC293" i="43"/>
  <c r="C13" i="48"/>
  <c r="AC17" i="34"/>
  <c r="AC25" i="34"/>
  <c r="AC28" i="34"/>
  <c r="AC30" i="34"/>
  <c r="AC38" i="34"/>
  <c r="AC40" i="34"/>
  <c r="AC41" i="34"/>
  <c r="AC42" i="34"/>
  <c r="AC50" i="34"/>
  <c r="AC61" i="34"/>
  <c r="AC66" i="34"/>
  <c r="AC183" i="34"/>
  <c r="AC199" i="34"/>
  <c r="AC215" i="34"/>
  <c r="AC231" i="34"/>
  <c r="AC263" i="34"/>
  <c r="AC295" i="34"/>
  <c r="AC311" i="34"/>
  <c r="Z317" i="34"/>
  <c r="AC317" i="34"/>
  <c r="Z341" i="34"/>
  <c r="AC341" i="34"/>
  <c r="Z349" i="34"/>
  <c r="AC349" i="34"/>
  <c r="Z357" i="34"/>
  <c r="AC357" i="34"/>
  <c r="Z365" i="34"/>
  <c r="AC365" i="34"/>
  <c r="C22" i="36"/>
  <c r="C8" i="36"/>
  <c r="E35" i="36" s="1"/>
  <c r="B15" i="40"/>
  <c r="B16" i="40" s="1"/>
  <c r="AC81" i="43"/>
  <c r="Z81" i="43"/>
  <c r="Z84" i="43"/>
  <c r="AC84" i="43"/>
  <c r="Z92" i="43"/>
  <c r="AC92" i="43"/>
  <c r="Z100" i="43"/>
  <c r="AC100" i="43"/>
  <c r="Z108" i="43"/>
  <c r="AC108" i="43"/>
  <c r="Z116" i="43"/>
  <c r="AC116" i="43"/>
  <c r="Z124" i="43"/>
  <c r="AC124" i="43"/>
  <c r="Z132" i="43"/>
  <c r="AC132" i="43"/>
  <c r="Z140" i="43"/>
  <c r="AC140" i="43"/>
  <c r="Z148" i="43"/>
  <c r="AC148" i="43"/>
  <c r="Z156" i="43"/>
  <c r="AC156" i="43"/>
  <c r="Z164" i="43"/>
  <c r="AC164" i="43"/>
  <c r="Z172" i="43"/>
  <c r="AC172" i="43"/>
  <c r="Z180" i="43"/>
  <c r="AC180" i="43"/>
  <c r="Z188" i="43"/>
  <c r="AC188" i="43"/>
  <c r="AC210" i="43"/>
  <c r="Z210" i="43"/>
  <c r="AC222" i="43"/>
  <c r="Z222" i="43"/>
  <c r="C5" i="35"/>
  <c r="D44" i="35" s="1"/>
  <c r="B10" i="38"/>
  <c r="U17" i="34"/>
  <c r="C18" i="34"/>
  <c r="C19" i="34" s="1"/>
  <c r="Z54" i="34"/>
  <c r="AC69" i="34"/>
  <c r="AC75" i="34"/>
  <c r="Z77" i="34"/>
  <c r="AC83" i="34"/>
  <c r="Z85" i="34"/>
  <c r="AC91" i="34"/>
  <c r="Z93" i="34"/>
  <c r="AC99" i="34"/>
  <c r="Z101" i="34"/>
  <c r="AC107" i="34"/>
  <c r="Z109" i="34"/>
  <c r="AC115" i="34"/>
  <c r="Z117" i="34"/>
  <c r="AC123" i="34"/>
  <c r="Z125" i="34"/>
  <c r="AC131" i="34"/>
  <c r="Z133" i="34"/>
  <c r="AC139" i="34"/>
  <c r="Z141" i="34"/>
  <c r="AC147" i="34"/>
  <c r="Z149" i="34"/>
  <c r="AC155" i="34"/>
  <c r="Z157" i="34"/>
  <c r="AC163" i="34"/>
  <c r="Z165" i="34"/>
  <c r="AC171" i="34"/>
  <c r="Z182" i="34"/>
  <c r="AC187" i="34"/>
  <c r="Z198" i="34"/>
  <c r="AC203" i="34"/>
  <c r="AC219" i="34"/>
  <c r="AC235" i="34"/>
  <c r="AC251" i="34"/>
  <c r="AC267" i="34"/>
  <c r="AC283" i="34"/>
  <c r="AC299" i="34"/>
  <c r="AC315" i="34"/>
  <c r="C13" i="39"/>
  <c r="B11" i="40"/>
  <c r="D5" i="42"/>
  <c r="Z34" i="43"/>
  <c r="AC34" i="43"/>
  <c r="AC53" i="43"/>
  <c r="Z53" i="43"/>
  <c r="Z82" i="43"/>
  <c r="AC82" i="43"/>
  <c r="AC206" i="43"/>
  <c r="Z206" i="43"/>
  <c r="Z40" i="43"/>
  <c r="AC40" i="43"/>
  <c r="Z253" i="43"/>
  <c r="AC253" i="43"/>
  <c r="AC259" i="43"/>
  <c r="Z259" i="43"/>
  <c r="AC263" i="43"/>
  <c r="Z263" i="43"/>
  <c r="Z269" i="43"/>
  <c r="AC269" i="43"/>
  <c r="AC275" i="43"/>
  <c r="Z275" i="43"/>
  <c r="Z281" i="43"/>
  <c r="AC281" i="43"/>
  <c r="Z285" i="43"/>
  <c r="AC285" i="43"/>
  <c r="AC291" i="43"/>
  <c r="Z291" i="43"/>
  <c r="C27" i="34"/>
  <c r="B41" i="34" s="1"/>
  <c r="AC27" i="34"/>
  <c r="AC29" i="34"/>
  <c r="AC70" i="34"/>
  <c r="AC247" i="34"/>
  <c r="AC279" i="34"/>
  <c r="Z325" i="34"/>
  <c r="AC325" i="34"/>
  <c r="Z333" i="34"/>
  <c r="AC333" i="34"/>
  <c r="C12" i="34"/>
  <c r="Z53" i="34"/>
  <c r="Z57" i="34"/>
  <c r="Z64" i="34"/>
  <c r="Z186" i="34"/>
  <c r="Z202" i="34"/>
  <c r="Z218" i="34"/>
  <c r="AC223" i="34"/>
  <c r="Z234" i="34"/>
  <c r="AC239" i="34"/>
  <c r="Z250" i="34"/>
  <c r="AC255" i="34"/>
  <c r="Z266" i="34"/>
  <c r="AC271" i="34"/>
  <c r="Z282" i="34"/>
  <c r="AC287" i="34"/>
  <c r="Z298" i="34"/>
  <c r="AC303" i="34"/>
  <c r="Z314" i="34"/>
  <c r="B13" i="37"/>
  <c r="D41" i="33" s="1"/>
  <c r="F8" i="40"/>
  <c r="F9" i="40" s="1"/>
  <c r="AC20" i="43"/>
  <c r="Z20" i="43"/>
  <c r="AC31" i="43"/>
  <c r="Z42" i="43"/>
  <c r="AC42" i="43"/>
  <c r="AC78" i="43"/>
  <c r="AC191" i="43"/>
  <c r="Z191" i="43"/>
  <c r="Z207" i="43"/>
  <c r="AC207" i="43"/>
  <c r="Z319" i="34"/>
  <c r="Z327" i="34"/>
  <c r="Z335" i="34"/>
  <c r="Z343" i="34"/>
  <c r="Z351" i="34"/>
  <c r="Z359" i="34"/>
  <c r="Z367" i="34"/>
  <c r="B10" i="47"/>
  <c r="C5" i="44"/>
  <c r="B11" i="47"/>
  <c r="F2" i="49"/>
  <c r="C3" i="43"/>
  <c r="B56" i="43" s="1"/>
  <c r="F14" i="42"/>
  <c r="Z12" i="43"/>
  <c r="Z22" i="43"/>
  <c r="Z37" i="43"/>
  <c r="Z49" i="43"/>
  <c r="Z54" i="43"/>
  <c r="Z56" i="43"/>
  <c r="Z223" i="43"/>
  <c r="AC223" i="43"/>
  <c r="AC238" i="43"/>
  <c r="Z238" i="43"/>
  <c r="C6" i="44"/>
  <c r="C4" i="44"/>
  <c r="C67" i="43"/>
  <c r="C68" i="43" s="1"/>
  <c r="AC219" i="43"/>
  <c r="Z239" i="43"/>
  <c r="AC239" i="43"/>
  <c r="Z86" i="43"/>
  <c r="Z94" i="43"/>
  <c r="Z102" i="43"/>
  <c r="Z110" i="43"/>
  <c r="Z118" i="43"/>
  <c r="Z126" i="43"/>
  <c r="Z134" i="43"/>
  <c r="Z142" i="43"/>
  <c r="Z150" i="43"/>
  <c r="Z158" i="43"/>
  <c r="Z166" i="43"/>
  <c r="Z174" i="43"/>
  <c r="Z182" i="43"/>
  <c r="B55" i="43"/>
  <c r="AC195" i="43"/>
  <c r="AC211" i="43"/>
  <c r="AC227" i="43"/>
  <c r="AC243" i="43"/>
  <c r="C22" i="45"/>
  <c r="Z295" i="43"/>
  <c r="AC297" i="43"/>
  <c r="Z299" i="43"/>
  <c r="AC301" i="43"/>
  <c r="Z303" i="43"/>
  <c r="AC305" i="43"/>
  <c r="Z307" i="43"/>
  <c r="AC309" i="43"/>
  <c r="Z311" i="43"/>
  <c r="AC313" i="43"/>
  <c r="Z315" i="43"/>
  <c r="AC317" i="43"/>
  <c r="Z319" i="43"/>
  <c r="AC321" i="43"/>
  <c r="Z323" i="43"/>
  <c r="AC325" i="43"/>
  <c r="Z327" i="43"/>
  <c r="AC329" i="43"/>
  <c r="Z331" i="43"/>
  <c r="AC333" i="43"/>
  <c r="Z335" i="43"/>
  <c r="AC337" i="43"/>
  <c r="Z339" i="43"/>
  <c r="AC341" i="43"/>
  <c r="Z343" i="43"/>
  <c r="AC345" i="43"/>
  <c r="Z347" i="43"/>
  <c r="AC349" i="43"/>
  <c r="Z351" i="43"/>
  <c r="AC353" i="43"/>
  <c r="Z355" i="43"/>
  <c r="AC357" i="43"/>
  <c r="Z359" i="43"/>
  <c r="AC361" i="43"/>
  <c r="Z363" i="43"/>
  <c r="AC365" i="43"/>
  <c r="Z367" i="43"/>
  <c r="AC369" i="43"/>
  <c r="C8" i="45"/>
  <c r="E35" i="45" s="1"/>
  <c r="C24" i="48"/>
  <c r="E24" i="48" s="1"/>
  <c r="C24" i="1"/>
  <c r="C14" i="34" l="1"/>
  <c r="C29" i="34" s="1"/>
  <c r="C69" i="43"/>
  <c r="C70" i="43"/>
  <c r="B59" i="43"/>
  <c r="B44" i="34"/>
  <c r="B43" i="34"/>
  <c r="B9" i="37"/>
  <c r="B11" i="37" s="1"/>
  <c r="D40" i="33" s="1"/>
  <c r="C5" i="38"/>
  <c r="C7" i="44"/>
  <c r="C8" i="44" s="1"/>
  <c r="B41" i="44"/>
  <c r="C14" i="44"/>
  <c r="D44" i="44"/>
  <c r="C6" i="43"/>
  <c r="C17" i="43"/>
  <c r="B42" i="43" s="1"/>
  <c r="S17" i="43"/>
  <c r="S13" i="43"/>
  <c r="C4" i="43"/>
  <c r="C14" i="39"/>
  <c r="C15" i="39"/>
  <c r="C9" i="34"/>
  <c r="C10" i="34"/>
  <c r="C14" i="48"/>
  <c r="C15" i="48" s="1"/>
  <c r="B11" i="49"/>
  <c r="B8" i="49"/>
  <c r="C9" i="36"/>
  <c r="F3" i="49"/>
  <c r="F4" i="49" s="1"/>
  <c r="C7" i="35"/>
  <c r="C8" i="35" s="1"/>
  <c r="B41" i="35"/>
  <c r="C9" i="45"/>
  <c r="C10" i="45" s="1"/>
  <c r="F35" i="45" s="1"/>
  <c r="K44" i="11"/>
  <c r="K43" i="11"/>
  <c r="D10" i="11"/>
  <c r="C25" i="14" s="1"/>
  <c r="D8" i="11"/>
  <c r="C23" i="14" s="1"/>
  <c r="C24" i="14" s="1"/>
  <c r="B19" i="11"/>
  <c r="L44" i="14" s="1"/>
  <c r="D16" i="11"/>
  <c r="B3" i="16" s="1"/>
  <c r="D15" i="11"/>
  <c r="B5" i="16" s="1"/>
  <c r="D14" i="11"/>
  <c r="B4" i="16" s="1"/>
  <c r="D13" i="11"/>
  <c r="F2" i="19" s="1"/>
  <c r="D6" i="11"/>
  <c r="C7" i="15" s="1"/>
  <c r="F8" i="1"/>
  <c r="D4" i="11"/>
  <c r="F5" i="19" s="1"/>
  <c r="F6" i="19" s="1"/>
  <c r="B3" i="19"/>
  <c r="B14" i="19" s="1"/>
  <c r="C23" i="18"/>
  <c r="C21" i="18"/>
  <c r="G10" i="18"/>
  <c r="G11" i="18" s="1"/>
  <c r="C5" i="18"/>
  <c r="C19" i="18" s="1"/>
  <c r="C4" i="18"/>
  <c r="C11" i="18" s="1"/>
  <c r="C3" i="18"/>
  <c r="C12" i="18" s="1"/>
  <c r="C4" i="17"/>
  <c r="C3" i="17"/>
  <c r="B7" i="16"/>
  <c r="B8" i="16" s="1"/>
  <c r="B2" i="16"/>
  <c r="B1" i="16"/>
  <c r="K34" i="15"/>
  <c r="J34" i="15"/>
  <c r="I34" i="15"/>
  <c r="H34" i="15"/>
  <c r="G34" i="15"/>
  <c r="F34" i="15"/>
  <c r="E34" i="15"/>
  <c r="C31" i="15"/>
  <c r="L28" i="15"/>
  <c r="L27" i="15"/>
  <c r="C6" i="15"/>
  <c r="C22" i="15" s="1"/>
  <c r="B54" i="14"/>
  <c r="C36" i="14"/>
  <c r="L34" i="14"/>
  <c r="L33" i="14"/>
  <c r="F7" i="11"/>
  <c r="C5" i="14" s="1"/>
  <c r="L4" i="11"/>
  <c r="L3" i="11"/>
  <c r="C30" i="34" l="1"/>
  <c r="C32" i="34"/>
  <c r="D43" i="34"/>
  <c r="C12" i="45"/>
  <c r="H35" i="45" s="1"/>
  <c r="C11" i="45"/>
  <c r="C13" i="45" s="1"/>
  <c r="C9" i="44"/>
  <c r="C11" i="44"/>
  <c r="C13" i="44" s="1"/>
  <c r="C10" i="44"/>
  <c r="C12" i="44" s="1"/>
  <c r="B49" i="44" s="1"/>
  <c r="C10" i="35"/>
  <c r="C12" i="35" s="1"/>
  <c r="C14" i="35" s="1"/>
  <c r="C9" i="35"/>
  <c r="C11" i="35"/>
  <c r="C13" i="35" s="1"/>
  <c r="G35" i="45"/>
  <c r="F8" i="49"/>
  <c r="F9" i="49" s="1"/>
  <c r="C18" i="43"/>
  <c r="C19" i="43" s="1"/>
  <c r="S14" i="43"/>
  <c r="C7" i="43"/>
  <c r="C8" i="43" s="1"/>
  <c r="B44" i="43"/>
  <c r="B9" i="38"/>
  <c r="D42" i="33"/>
  <c r="D43" i="33"/>
  <c r="B40" i="34"/>
  <c r="C10" i="36"/>
  <c r="F35" i="36" s="1"/>
  <c r="C11" i="36"/>
  <c r="C12" i="36"/>
  <c r="B49" i="35"/>
  <c r="B45" i="35"/>
  <c r="B9" i="49"/>
  <c r="B15" i="49"/>
  <c r="B16" i="49" s="1"/>
  <c r="U17" i="43"/>
  <c r="S18" i="43"/>
  <c r="B45" i="44"/>
  <c r="C13" i="18"/>
  <c r="C14" i="18" s="1"/>
  <c r="C15" i="18" s="1"/>
  <c r="D9" i="11"/>
  <c r="C18" i="15"/>
  <c r="C19" i="15" s="1"/>
  <c r="C3" i="15"/>
  <c r="F4" i="11"/>
  <c r="F5" i="11" s="1"/>
  <c r="F13" i="11"/>
  <c r="C3" i="14"/>
  <c r="C4" i="14" s="1"/>
  <c r="C7" i="14" s="1"/>
  <c r="C8" i="14" s="1"/>
  <c r="C11" i="14" s="1"/>
  <c r="C13" i="14" s="1"/>
  <c r="C7" i="17"/>
  <c r="C6" i="17"/>
  <c r="C20" i="15"/>
  <c r="F6" i="11"/>
  <c r="A42" i="11" a="1"/>
  <c r="E56" i="1" s="1"/>
  <c r="L59" i="14"/>
  <c r="B13" i="16"/>
  <c r="H26" i="11" s="1"/>
  <c r="C17" i="14"/>
  <c r="B42" i="14" s="1"/>
  <c r="B11" i="17"/>
  <c r="B5" i="19"/>
  <c r="B6" i="19" s="1"/>
  <c r="B11" i="19" s="1"/>
  <c r="C27" i="14"/>
  <c r="B41" i="14" s="1"/>
  <c r="B55" i="14"/>
  <c r="B10" i="17"/>
  <c r="C24" i="18"/>
  <c r="E24" i="18" s="1"/>
  <c r="C14" i="45" l="1"/>
  <c r="J35" i="45" s="1"/>
  <c r="B44" i="44"/>
  <c r="B46" i="44" s="1"/>
  <c r="D31" i="42" s="1"/>
  <c r="C13" i="38"/>
  <c r="C14" i="38" s="1"/>
  <c r="C16" i="38" s="1"/>
  <c r="C18" i="38" s="1"/>
  <c r="D45" i="33" s="1"/>
  <c r="C9" i="43"/>
  <c r="C11" i="43"/>
  <c r="C13" i="43" s="1"/>
  <c r="C10" i="43"/>
  <c r="C12" i="43" s="1"/>
  <c r="B44" i="35"/>
  <c r="B46" i="35" s="1"/>
  <c r="G35" i="36"/>
  <c r="C13" i="36"/>
  <c r="B57" i="34"/>
  <c r="B49" i="34" s="1"/>
  <c r="D33" i="33" s="1"/>
  <c r="C9" i="38"/>
  <c r="C40" i="34"/>
  <c r="H35" i="36"/>
  <c r="C14" i="36"/>
  <c r="J35" i="36" s="1"/>
  <c r="C17" i="38"/>
  <c r="C20" i="43"/>
  <c r="D44" i="43" s="1"/>
  <c r="I35" i="45"/>
  <c r="C4" i="15"/>
  <c r="C8" i="15" s="1"/>
  <c r="E35" i="15" s="1"/>
  <c r="A35" i="15" a="1"/>
  <c r="A35" i="15" s="1"/>
  <c r="D35" i="15" s="1"/>
  <c r="B56" i="14"/>
  <c r="B59" i="14" s="1"/>
  <c r="C6" i="14"/>
  <c r="C15" i="17"/>
  <c r="G55" i="11"/>
  <c r="F62" i="1" s="1"/>
  <c r="A64" i="1"/>
  <c r="E52" i="1"/>
  <c r="D56" i="1"/>
  <c r="G44" i="11"/>
  <c r="F51" i="1" s="1"/>
  <c r="C63" i="1"/>
  <c r="A65" i="1"/>
  <c r="G45" i="11"/>
  <c r="F52" i="1" s="1"/>
  <c r="F3" i="19"/>
  <c r="F4" i="19" s="1"/>
  <c r="E50" i="1"/>
  <c r="A52" i="1"/>
  <c r="G54" i="11"/>
  <c r="F61" i="1" s="1"/>
  <c r="B8" i="19"/>
  <c r="B9" i="19" s="1"/>
  <c r="B58" i="1"/>
  <c r="E53" i="1"/>
  <c r="A53" i="1"/>
  <c r="C59" i="1"/>
  <c r="E66" i="1"/>
  <c r="A56" i="1"/>
  <c r="G56" i="11"/>
  <c r="F63" i="1" s="1"/>
  <c r="G43" i="11"/>
  <c r="F50" i="1" s="1"/>
  <c r="G46" i="11"/>
  <c r="F53" i="1" s="1"/>
  <c r="B54" i="1"/>
  <c r="C50" i="1"/>
  <c r="B57" i="1"/>
  <c r="C61" i="1"/>
  <c r="G52" i="11"/>
  <c r="F59" i="1" s="1"/>
  <c r="G59" i="11"/>
  <c r="F66" i="1" s="1"/>
  <c r="G53" i="11"/>
  <c r="F60" i="1" s="1"/>
  <c r="G50" i="11"/>
  <c r="F57" i="1" s="1"/>
  <c r="B50" i="1"/>
  <c r="A57" i="1"/>
  <c r="A61" i="1"/>
  <c r="D64" i="1"/>
  <c r="C67" i="1"/>
  <c r="B53" i="1"/>
  <c r="D67" i="1"/>
  <c r="E59" i="1"/>
  <c r="G60" i="11"/>
  <c r="F67" i="1" s="1"/>
  <c r="G61" i="11"/>
  <c r="F68" i="1" s="1"/>
  <c r="G51" i="11"/>
  <c r="F58" i="1" s="1"/>
  <c r="G57" i="11"/>
  <c r="F64" i="1" s="1"/>
  <c r="C51" i="1"/>
  <c r="C55" i="1"/>
  <c r="E58" i="1"/>
  <c r="B62" i="1"/>
  <c r="B66" i="1"/>
  <c r="D51" i="1"/>
  <c r="C54" i="1"/>
  <c r="A60" i="1"/>
  <c r="B63" i="1"/>
  <c r="D53" i="1"/>
  <c r="A75" i="1"/>
  <c r="A59" i="1"/>
  <c r="D83" i="1"/>
  <c r="A76" i="1"/>
  <c r="B69" i="1"/>
  <c r="E61" i="1"/>
  <c r="G76" i="11"/>
  <c r="F83" i="1" s="1"/>
  <c r="E86" i="1"/>
  <c r="E82" i="1"/>
  <c r="A77" i="1"/>
  <c r="A73" i="1"/>
  <c r="G71" i="11"/>
  <c r="F78" i="1" s="1"/>
  <c r="G69" i="11"/>
  <c r="F76" i="1" s="1"/>
  <c r="G67" i="11"/>
  <c r="F74" i="1" s="1"/>
  <c r="G70" i="11"/>
  <c r="F77" i="1" s="1"/>
  <c r="B70" i="1"/>
  <c r="C87" i="1"/>
  <c r="C71" i="1"/>
  <c r="E74" i="1"/>
  <c r="B78" i="1"/>
  <c r="A85" i="1"/>
  <c r="G77" i="11"/>
  <c r="F84" i="1" s="1"/>
  <c r="C58" i="1"/>
  <c r="B65" i="1"/>
  <c r="A80" i="1"/>
  <c r="C86" i="1"/>
  <c r="A55" i="1"/>
  <c r="B64" i="1"/>
  <c r="C85" i="1"/>
  <c r="E67" i="1"/>
  <c r="G75" i="11"/>
  <c r="F82" i="1" s="1"/>
  <c r="B74" i="1"/>
  <c r="D80" i="1"/>
  <c r="D84" i="1"/>
  <c r="C70" i="1"/>
  <c r="E77" i="1"/>
  <c r="B85" i="1"/>
  <c r="B80" i="1"/>
  <c r="G66" i="11"/>
  <c r="F73" i="1" s="1"/>
  <c r="G62" i="11"/>
  <c r="F69" i="1" s="1"/>
  <c r="A69" i="1"/>
  <c r="D72" i="1"/>
  <c r="C75" i="1"/>
  <c r="C79" i="1"/>
  <c r="B82" i="1"/>
  <c r="G72" i="11"/>
  <c r="F79" i="1" s="1"/>
  <c r="C74" i="1"/>
  <c r="B81" i="1"/>
  <c r="C69" i="1"/>
  <c r="G81" i="11"/>
  <c r="F88" i="1" s="1"/>
  <c r="D59" i="1"/>
  <c r="C62" i="1"/>
  <c r="C66" i="1"/>
  <c r="E69" i="1"/>
  <c r="B73" i="1"/>
  <c r="B77" i="1"/>
  <c r="A84" i="1"/>
  <c r="A88" i="1"/>
  <c r="B52" i="1"/>
  <c r="B56" i="1"/>
  <c r="B60" i="1"/>
  <c r="A67" i="1"/>
  <c r="C77" i="1"/>
  <c r="C56" i="1"/>
  <c r="B61" i="1"/>
  <c r="A68" i="1"/>
  <c r="A72" i="1"/>
  <c r="D75" i="1"/>
  <c r="C78" i="1"/>
  <c r="C82" i="1"/>
  <c r="E85" i="1"/>
  <c r="D50" i="1"/>
  <c r="D54" i="1"/>
  <c r="C57" i="1"/>
  <c r="A63" i="1"/>
  <c r="B72" i="1"/>
  <c r="A83" i="1"/>
  <c r="A86" i="1"/>
  <c r="D73" i="1"/>
  <c r="A62" i="1"/>
  <c r="G78" i="11"/>
  <c r="F85" i="1" s="1"/>
  <c r="D86" i="1"/>
  <c r="C81" i="1"/>
  <c r="B76" i="1"/>
  <c r="A71" i="1"/>
  <c r="C65" i="1"/>
  <c r="B68" i="1"/>
  <c r="C73" i="1"/>
  <c r="A79" i="1"/>
  <c r="B84" i="1"/>
  <c r="E88" i="1"/>
  <c r="E51" i="1"/>
  <c r="A58" i="1"/>
  <c r="D65" i="1"/>
  <c r="C84" i="1"/>
  <c r="E75" i="1"/>
  <c r="A82" i="1"/>
  <c r="B87" i="1"/>
  <c r="G64" i="11"/>
  <c r="F71" i="1" s="1"/>
  <c r="G48" i="11"/>
  <c r="F55" i="1" s="1"/>
  <c r="G49" i="11"/>
  <c r="F56" i="1" s="1"/>
  <c r="G63" i="11"/>
  <c r="F70" i="1" s="1"/>
  <c r="G47" i="11"/>
  <c r="F54" i="1" s="1"/>
  <c r="G58" i="11"/>
  <c r="F65" i="1" s="1"/>
  <c r="G65" i="11"/>
  <c r="F72" i="1" s="1"/>
  <c r="G79" i="11"/>
  <c r="F86" i="1" s="1"/>
  <c r="D52" i="1"/>
  <c r="E54" i="1"/>
  <c r="D60" i="1"/>
  <c r="E62" i="1"/>
  <c r="D68" i="1"/>
  <c r="E70" i="1"/>
  <c r="D76" i="1"/>
  <c r="E78" i="1"/>
  <c r="A81" i="1"/>
  <c r="C83" i="1"/>
  <c r="B86" i="1"/>
  <c r="D88" i="1"/>
  <c r="G80" i="11"/>
  <c r="F87" i="1" s="1"/>
  <c r="D55" i="1"/>
  <c r="E57" i="1"/>
  <c r="D63" i="1"/>
  <c r="E65" i="1"/>
  <c r="D71" i="1"/>
  <c r="E73" i="1"/>
  <c r="D79" i="1"/>
  <c r="E81" i="1"/>
  <c r="D87" i="1"/>
  <c r="A51" i="1"/>
  <c r="C53" i="1"/>
  <c r="D58" i="1"/>
  <c r="E60" i="1"/>
  <c r="D66" i="1"/>
  <c r="E68" i="1"/>
  <c r="D74" i="1"/>
  <c r="E76" i="1"/>
  <c r="D82" i="1"/>
  <c r="E84" i="1"/>
  <c r="A87" i="1"/>
  <c r="G73" i="11"/>
  <c r="F80" i="1" s="1"/>
  <c r="A50" i="1"/>
  <c r="C52" i="1"/>
  <c r="B55" i="1"/>
  <c r="B59" i="1"/>
  <c r="E71" i="1"/>
  <c r="D77" i="1"/>
  <c r="B83" i="1"/>
  <c r="C88" i="1"/>
  <c r="D62" i="1"/>
  <c r="E64" i="1"/>
  <c r="D70" i="1"/>
  <c r="E72" i="1"/>
  <c r="D78" i="1"/>
  <c r="E80" i="1"/>
  <c r="B88" i="1"/>
  <c r="G74" i="11"/>
  <c r="F81" i="1" s="1"/>
  <c r="B51" i="1"/>
  <c r="A54" i="1"/>
  <c r="D57" i="1"/>
  <c r="C60" i="1"/>
  <c r="C64" i="1"/>
  <c r="D69" i="1"/>
  <c r="E79" i="1"/>
  <c r="C288" i="1"/>
  <c r="E287" i="1"/>
  <c r="B287" i="1"/>
  <c r="A286" i="1"/>
  <c r="D285" i="1"/>
  <c r="C284" i="1"/>
  <c r="E283" i="1"/>
  <c r="E288" i="1"/>
  <c r="B288" i="1"/>
  <c r="A287" i="1"/>
  <c r="D286" i="1"/>
  <c r="C285" i="1"/>
  <c r="E284" i="1"/>
  <c r="B284" i="1"/>
  <c r="A288" i="1"/>
  <c r="D287" i="1"/>
  <c r="C286" i="1"/>
  <c r="E285" i="1"/>
  <c r="B285" i="1"/>
  <c r="A284" i="1"/>
  <c r="D283" i="1"/>
  <c r="C282" i="1"/>
  <c r="E281" i="1"/>
  <c r="B281" i="1"/>
  <c r="A280" i="1"/>
  <c r="D279" i="1"/>
  <c r="C278" i="1"/>
  <c r="E277" i="1"/>
  <c r="B277" i="1"/>
  <c r="A276" i="1"/>
  <c r="D275" i="1"/>
  <c r="C274" i="1"/>
  <c r="E273" i="1"/>
  <c r="B273" i="1"/>
  <c r="A272" i="1"/>
  <c r="D271" i="1"/>
  <c r="C270" i="1"/>
  <c r="E269" i="1"/>
  <c r="B269" i="1"/>
  <c r="A268" i="1"/>
  <c r="D267" i="1"/>
  <c r="C266" i="1"/>
  <c r="E265" i="1"/>
  <c r="B265" i="1"/>
  <c r="A264" i="1"/>
  <c r="D263" i="1"/>
  <c r="C262" i="1"/>
  <c r="E261" i="1"/>
  <c r="B261" i="1"/>
  <c r="A260" i="1"/>
  <c r="D259" i="1"/>
  <c r="C258" i="1"/>
  <c r="E257" i="1"/>
  <c r="B257" i="1"/>
  <c r="A256" i="1"/>
  <c r="D255" i="1"/>
  <c r="C254" i="1"/>
  <c r="E253" i="1"/>
  <c r="B253" i="1"/>
  <c r="A252" i="1"/>
  <c r="D251" i="1"/>
  <c r="C250" i="1"/>
  <c r="E249" i="1"/>
  <c r="B249" i="1"/>
  <c r="A248" i="1"/>
  <c r="D247" i="1"/>
  <c r="C246" i="1"/>
  <c r="E245" i="1"/>
  <c r="B245" i="1"/>
  <c r="A244" i="1"/>
  <c r="D243" i="1"/>
  <c r="C242" i="1"/>
  <c r="E241" i="1"/>
  <c r="B241" i="1"/>
  <c r="D288" i="1"/>
  <c r="C287" i="1"/>
  <c r="E286" i="1"/>
  <c r="B286" i="1"/>
  <c r="A285" i="1"/>
  <c r="D284" i="1"/>
  <c r="C283" i="1"/>
  <c r="E282" i="1"/>
  <c r="B282" i="1"/>
  <c r="A281" i="1"/>
  <c r="D280" i="1"/>
  <c r="C279" i="1"/>
  <c r="E278" i="1"/>
  <c r="B278" i="1"/>
  <c r="A277" i="1"/>
  <c r="D276" i="1"/>
  <c r="C275" i="1"/>
  <c r="E274" i="1"/>
  <c r="B274" i="1"/>
  <c r="A273" i="1"/>
  <c r="D272" i="1"/>
  <c r="C271" i="1"/>
  <c r="E270" i="1"/>
  <c r="B270" i="1"/>
  <c r="A269" i="1"/>
  <c r="D268" i="1"/>
  <c r="C267" i="1"/>
  <c r="E266" i="1"/>
  <c r="B266" i="1"/>
  <c r="A265" i="1"/>
  <c r="D264" i="1"/>
  <c r="C263" i="1"/>
  <c r="E262" i="1"/>
  <c r="B262" i="1"/>
  <c r="A261" i="1"/>
  <c r="D260" i="1"/>
  <c r="C259" i="1"/>
  <c r="E258" i="1"/>
  <c r="B258" i="1"/>
  <c r="A257" i="1"/>
  <c r="D256" i="1"/>
  <c r="C255" i="1"/>
  <c r="E254" i="1"/>
  <c r="B254" i="1"/>
  <c r="A253" i="1"/>
  <c r="D252" i="1"/>
  <c r="C251" i="1"/>
  <c r="E250" i="1"/>
  <c r="B250" i="1"/>
  <c r="A249" i="1"/>
  <c r="D248" i="1"/>
  <c r="C247" i="1"/>
  <c r="E246" i="1"/>
  <c r="B246" i="1"/>
  <c r="A245" i="1"/>
  <c r="D244" i="1"/>
  <c r="C243" i="1"/>
  <c r="E242" i="1"/>
  <c r="B242" i="1"/>
  <c r="A241" i="1"/>
  <c r="D240" i="1"/>
  <c r="B283" i="1"/>
  <c r="A282" i="1"/>
  <c r="E279" i="1"/>
  <c r="D277" i="1"/>
  <c r="C276" i="1"/>
  <c r="B275" i="1"/>
  <c r="A274" i="1"/>
  <c r="E271" i="1"/>
  <c r="D269" i="1"/>
  <c r="C268" i="1"/>
  <c r="B267" i="1"/>
  <c r="A266" i="1"/>
  <c r="E263" i="1"/>
  <c r="D261" i="1"/>
  <c r="C260" i="1"/>
  <c r="B259" i="1"/>
  <c r="A258" i="1"/>
  <c r="E255" i="1"/>
  <c r="D253" i="1"/>
  <c r="C252" i="1"/>
  <c r="B251" i="1"/>
  <c r="A250" i="1"/>
  <c r="E247" i="1"/>
  <c r="D245" i="1"/>
  <c r="C244" i="1"/>
  <c r="B243" i="1"/>
  <c r="A242" i="1"/>
  <c r="A240" i="1"/>
  <c r="D239" i="1"/>
  <c r="C238" i="1"/>
  <c r="E237" i="1"/>
  <c r="B237" i="1"/>
  <c r="A236" i="1"/>
  <c r="D235" i="1"/>
  <c r="C234" i="1"/>
  <c r="E233" i="1"/>
  <c r="B233" i="1"/>
  <c r="A232" i="1"/>
  <c r="D231" i="1"/>
  <c r="C230" i="1"/>
  <c r="E229" i="1"/>
  <c r="B229" i="1"/>
  <c r="A228" i="1"/>
  <c r="D227" i="1"/>
  <c r="C226" i="1"/>
  <c r="E225" i="1"/>
  <c r="B225" i="1"/>
  <c r="A224" i="1"/>
  <c r="D223" i="1"/>
  <c r="C222" i="1"/>
  <c r="E221" i="1"/>
  <c r="B221" i="1"/>
  <c r="A220" i="1"/>
  <c r="D219" i="1"/>
  <c r="C218" i="1"/>
  <c r="E217" i="1"/>
  <c r="B217" i="1"/>
  <c r="A216" i="1"/>
  <c r="D215" i="1"/>
  <c r="C214" i="1"/>
  <c r="E213" i="1"/>
  <c r="A283" i="1"/>
  <c r="E280" i="1"/>
  <c r="D278" i="1"/>
  <c r="C277" i="1"/>
  <c r="B276" i="1"/>
  <c r="A275" i="1"/>
  <c r="E272" i="1"/>
  <c r="D270" i="1"/>
  <c r="C269" i="1"/>
  <c r="B268" i="1"/>
  <c r="A267" i="1"/>
  <c r="E264" i="1"/>
  <c r="D262" i="1"/>
  <c r="C261" i="1"/>
  <c r="B260" i="1"/>
  <c r="A259" i="1"/>
  <c r="E256" i="1"/>
  <c r="D254" i="1"/>
  <c r="C253" i="1"/>
  <c r="B252" i="1"/>
  <c r="A251" i="1"/>
  <c r="E248" i="1"/>
  <c r="D246" i="1"/>
  <c r="C245" i="1"/>
  <c r="B244" i="1"/>
  <c r="A243" i="1"/>
  <c r="E240" i="1"/>
  <c r="C239" i="1"/>
  <c r="E238" i="1"/>
  <c r="B238" i="1"/>
  <c r="A237" i="1"/>
  <c r="D236" i="1"/>
  <c r="C235" i="1"/>
  <c r="E234" i="1"/>
  <c r="B234" i="1"/>
  <c r="A233" i="1"/>
  <c r="D232" i="1"/>
  <c r="C231" i="1"/>
  <c r="E230" i="1"/>
  <c r="B230" i="1"/>
  <c r="A229" i="1"/>
  <c r="D228" i="1"/>
  <c r="C227" i="1"/>
  <c r="E226" i="1"/>
  <c r="B226" i="1"/>
  <c r="A225" i="1"/>
  <c r="D224" i="1"/>
  <c r="C223" i="1"/>
  <c r="E222" i="1"/>
  <c r="B222" i="1"/>
  <c r="A221" i="1"/>
  <c r="D220" i="1"/>
  <c r="C219" i="1"/>
  <c r="E218" i="1"/>
  <c r="B218" i="1"/>
  <c r="A217" i="1"/>
  <c r="D216" i="1"/>
  <c r="D281" i="1"/>
  <c r="C280" i="1"/>
  <c r="B279" i="1"/>
  <c r="A278" i="1"/>
  <c r="E275" i="1"/>
  <c r="D273" i="1"/>
  <c r="C272" i="1"/>
  <c r="B271" i="1"/>
  <c r="A270" i="1"/>
  <c r="E267" i="1"/>
  <c r="D265" i="1"/>
  <c r="C264" i="1"/>
  <c r="B263" i="1"/>
  <c r="A262" i="1"/>
  <c r="E259" i="1"/>
  <c r="D257" i="1"/>
  <c r="C256" i="1"/>
  <c r="B255" i="1"/>
  <c r="A254" i="1"/>
  <c r="E251" i="1"/>
  <c r="D249" i="1"/>
  <c r="C248" i="1"/>
  <c r="B247" i="1"/>
  <c r="A246" i="1"/>
  <c r="E243" i="1"/>
  <c r="D241" i="1"/>
  <c r="C240" i="1"/>
  <c r="E239" i="1"/>
  <c r="B239" i="1"/>
  <c r="A238" i="1"/>
  <c r="D237" i="1"/>
  <c r="C236" i="1"/>
  <c r="E235" i="1"/>
  <c r="B235" i="1"/>
  <c r="A234" i="1"/>
  <c r="D233" i="1"/>
  <c r="C232" i="1"/>
  <c r="E231" i="1"/>
  <c r="B231" i="1"/>
  <c r="A230" i="1"/>
  <c r="D229" i="1"/>
  <c r="C228" i="1"/>
  <c r="E227" i="1"/>
  <c r="B227" i="1"/>
  <c r="A226" i="1"/>
  <c r="D225" i="1"/>
  <c r="C224" i="1"/>
  <c r="E223" i="1"/>
  <c r="B223" i="1"/>
  <c r="A222" i="1"/>
  <c r="D221" i="1"/>
  <c r="C220" i="1"/>
  <c r="E219" i="1"/>
  <c r="B219" i="1"/>
  <c r="A218" i="1"/>
  <c r="D217" i="1"/>
  <c r="C216" i="1"/>
  <c r="E215" i="1"/>
  <c r="B215" i="1"/>
  <c r="D282" i="1"/>
  <c r="C273" i="1"/>
  <c r="E268" i="1"/>
  <c r="B264" i="1"/>
  <c r="A255" i="1"/>
  <c r="D250" i="1"/>
  <c r="C241" i="1"/>
  <c r="D238" i="1"/>
  <c r="B236" i="1"/>
  <c r="C229" i="1"/>
  <c r="A227" i="1"/>
  <c r="E224" i="1"/>
  <c r="D222" i="1"/>
  <c r="B220" i="1"/>
  <c r="E214" i="1"/>
  <c r="A214" i="1"/>
  <c r="C213" i="1"/>
  <c r="E212" i="1"/>
  <c r="B212" i="1"/>
  <c r="A211" i="1"/>
  <c r="D210" i="1"/>
  <c r="C209" i="1"/>
  <c r="E208" i="1"/>
  <c r="B208" i="1"/>
  <c r="A207" i="1"/>
  <c r="D206" i="1"/>
  <c r="C205" i="1"/>
  <c r="E204" i="1"/>
  <c r="B204" i="1"/>
  <c r="A203" i="1"/>
  <c r="D202" i="1"/>
  <c r="C201" i="1"/>
  <c r="E200" i="1"/>
  <c r="B200" i="1"/>
  <c r="A199" i="1"/>
  <c r="D198" i="1"/>
  <c r="C197" i="1"/>
  <c r="E196" i="1"/>
  <c r="B196" i="1"/>
  <c r="A195" i="1"/>
  <c r="D194" i="1"/>
  <c r="C193" i="1"/>
  <c r="E192" i="1"/>
  <c r="B192" i="1"/>
  <c r="A191" i="1"/>
  <c r="D190" i="1"/>
  <c r="C189" i="1"/>
  <c r="E188" i="1"/>
  <c r="B188" i="1"/>
  <c r="A187" i="1"/>
  <c r="D186" i="1"/>
  <c r="C185" i="1"/>
  <c r="E184" i="1"/>
  <c r="B184" i="1"/>
  <c r="A183" i="1"/>
  <c r="D182" i="1"/>
  <c r="C181" i="1"/>
  <c r="E180" i="1"/>
  <c r="B180" i="1"/>
  <c r="A179" i="1"/>
  <c r="D178" i="1"/>
  <c r="C281" i="1"/>
  <c r="E276" i="1"/>
  <c r="B272" i="1"/>
  <c r="A263" i="1"/>
  <c r="D258" i="1"/>
  <c r="C249" i="1"/>
  <c r="E244" i="1"/>
  <c r="B240" i="1"/>
  <c r="C233" i="1"/>
  <c r="A231" i="1"/>
  <c r="E228" i="1"/>
  <c r="D226" i="1"/>
  <c r="B224" i="1"/>
  <c r="C217" i="1"/>
  <c r="B213" i="1"/>
  <c r="A212" i="1"/>
  <c r="D211" i="1"/>
  <c r="C210" i="1"/>
  <c r="E209" i="1"/>
  <c r="B209" i="1"/>
  <c r="A208" i="1"/>
  <c r="D207" i="1"/>
  <c r="C206" i="1"/>
  <c r="E205" i="1"/>
  <c r="B205" i="1"/>
  <c r="A204" i="1"/>
  <c r="D203" i="1"/>
  <c r="C202" i="1"/>
  <c r="E201" i="1"/>
  <c r="B201" i="1"/>
  <c r="A200" i="1"/>
  <c r="D199" i="1"/>
  <c r="C198" i="1"/>
  <c r="E197" i="1"/>
  <c r="B197" i="1"/>
  <c r="A196" i="1"/>
  <c r="D195" i="1"/>
  <c r="C194" i="1"/>
  <c r="E193" i="1"/>
  <c r="B193" i="1"/>
  <c r="A192" i="1"/>
  <c r="D191" i="1"/>
  <c r="C190" i="1"/>
  <c r="E189" i="1"/>
  <c r="B189" i="1"/>
  <c r="A188" i="1"/>
  <c r="D187" i="1"/>
  <c r="C186" i="1"/>
  <c r="E185" i="1"/>
  <c r="B185" i="1"/>
  <c r="A184" i="1"/>
  <c r="D183" i="1"/>
  <c r="C182" i="1"/>
  <c r="E181" i="1"/>
  <c r="B181" i="1"/>
  <c r="A180" i="1"/>
  <c r="D179" i="1"/>
  <c r="C178" i="1"/>
  <c r="B280" i="1"/>
  <c r="A271" i="1"/>
  <c r="D266" i="1"/>
  <c r="C257" i="1"/>
  <c r="E252" i="1"/>
  <c r="B248" i="1"/>
  <c r="C237" i="1"/>
  <c r="A235" i="1"/>
  <c r="E232" i="1"/>
  <c r="D230" i="1"/>
  <c r="B228" i="1"/>
  <c r="C221" i="1"/>
  <c r="A219" i="1"/>
  <c r="E216" i="1"/>
  <c r="C215" i="1"/>
  <c r="D214" i="1"/>
  <c r="A213" i="1"/>
  <c r="D212" i="1"/>
  <c r="C211" i="1"/>
  <c r="E210" i="1"/>
  <c r="B210" i="1"/>
  <c r="A209" i="1"/>
  <c r="D208" i="1"/>
  <c r="C207" i="1"/>
  <c r="E206" i="1"/>
  <c r="B206" i="1"/>
  <c r="A205" i="1"/>
  <c r="D204" i="1"/>
  <c r="C203" i="1"/>
  <c r="E202" i="1"/>
  <c r="B202" i="1"/>
  <c r="A201" i="1"/>
  <c r="D200" i="1"/>
  <c r="C199" i="1"/>
  <c r="E198" i="1"/>
  <c r="B198" i="1"/>
  <c r="A197" i="1"/>
  <c r="D196" i="1"/>
  <c r="C195" i="1"/>
  <c r="E194" i="1"/>
  <c r="B194" i="1"/>
  <c r="A193" i="1"/>
  <c r="D192" i="1"/>
  <c r="C191" i="1"/>
  <c r="E190" i="1"/>
  <c r="B190" i="1"/>
  <c r="A189" i="1"/>
  <c r="D188" i="1"/>
  <c r="C187" i="1"/>
  <c r="E186" i="1"/>
  <c r="B186" i="1"/>
  <c r="A185" i="1"/>
  <c r="D184" i="1"/>
  <c r="C183" i="1"/>
  <c r="E182" i="1"/>
  <c r="B182" i="1"/>
  <c r="A181" i="1"/>
  <c r="D180" i="1"/>
  <c r="C179" i="1"/>
  <c r="E178" i="1"/>
  <c r="B178" i="1"/>
  <c r="A177" i="1"/>
  <c r="D176" i="1"/>
  <c r="C175" i="1"/>
  <c r="E174" i="1"/>
  <c r="B174" i="1"/>
  <c r="A173" i="1"/>
  <c r="D172" i="1"/>
  <c r="C171" i="1"/>
  <c r="E170" i="1"/>
  <c r="B170" i="1"/>
  <c r="A169" i="1"/>
  <c r="D168" i="1"/>
  <c r="C167" i="1"/>
  <c r="E166" i="1"/>
  <c r="B166" i="1"/>
  <c r="A165" i="1"/>
  <c r="D164" i="1"/>
  <c r="C163" i="1"/>
  <c r="E162" i="1"/>
  <c r="B162" i="1"/>
  <c r="A161" i="1"/>
  <c r="D160" i="1"/>
  <c r="C159" i="1"/>
  <c r="E158" i="1"/>
  <c r="B158" i="1"/>
  <c r="A157" i="1"/>
  <c r="D156" i="1"/>
  <c r="C155" i="1"/>
  <c r="E154" i="1"/>
  <c r="B154" i="1"/>
  <c r="A153" i="1"/>
  <c r="D152" i="1"/>
  <c r="C151" i="1"/>
  <c r="E150" i="1"/>
  <c r="B150" i="1"/>
  <c r="A149" i="1"/>
  <c r="D148" i="1"/>
  <c r="C147" i="1"/>
  <c r="E146" i="1"/>
  <c r="B146" i="1"/>
  <c r="A145" i="1"/>
  <c r="D144" i="1"/>
  <c r="C143" i="1"/>
  <c r="E142" i="1"/>
  <c r="B142" i="1"/>
  <c r="A141" i="1"/>
  <c r="D140" i="1"/>
  <c r="C139" i="1"/>
  <c r="E138" i="1"/>
  <c r="B138" i="1"/>
  <c r="A137" i="1"/>
  <c r="D136" i="1"/>
  <c r="C135" i="1"/>
  <c r="E134" i="1"/>
  <c r="B134" i="1"/>
  <c r="A133" i="1"/>
  <c r="A279" i="1"/>
  <c r="E260" i="1"/>
  <c r="D242" i="1"/>
  <c r="B232" i="1"/>
  <c r="A223" i="1"/>
  <c r="A215" i="1"/>
  <c r="C212" i="1"/>
  <c r="A210" i="1"/>
  <c r="E207" i="1"/>
  <c r="D205" i="1"/>
  <c r="B203" i="1"/>
  <c r="C196" i="1"/>
  <c r="A194" i="1"/>
  <c r="E191" i="1"/>
  <c r="D189" i="1"/>
  <c r="B187" i="1"/>
  <c r="C180" i="1"/>
  <c r="A178" i="1"/>
  <c r="B177" i="1"/>
  <c r="C176" i="1"/>
  <c r="A174" i="1"/>
  <c r="C173" i="1"/>
  <c r="E171" i="1"/>
  <c r="A171" i="1"/>
  <c r="C170" i="1"/>
  <c r="D169" i="1"/>
  <c r="E168" i="1"/>
  <c r="A168" i="1"/>
  <c r="B167" i="1"/>
  <c r="D166" i="1"/>
  <c r="E165" i="1"/>
  <c r="B164" i="1"/>
  <c r="D163" i="1"/>
  <c r="B161" i="1"/>
  <c r="C160" i="1"/>
  <c r="A158" i="1"/>
  <c r="C157" i="1"/>
  <c r="E155" i="1"/>
  <c r="A155" i="1"/>
  <c r="C154" i="1"/>
  <c r="D153" i="1"/>
  <c r="E152" i="1"/>
  <c r="A152" i="1"/>
  <c r="B151" i="1"/>
  <c r="D150" i="1"/>
  <c r="E149" i="1"/>
  <c r="B148" i="1"/>
  <c r="D147" i="1"/>
  <c r="B145" i="1"/>
  <c r="C144" i="1"/>
  <c r="A142" i="1"/>
  <c r="C141" i="1"/>
  <c r="E139" i="1"/>
  <c r="A139" i="1"/>
  <c r="C138" i="1"/>
  <c r="D137" i="1"/>
  <c r="E136" i="1"/>
  <c r="A136" i="1"/>
  <c r="B135" i="1"/>
  <c r="D134" i="1"/>
  <c r="E133" i="1"/>
  <c r="C132" i="1"/>
  <c r="E131" i="1"/>
  <c r="B131" i="1"/>
  <c r="A130" i="1"/>
  <c r="D129" i="1"/>
  <c r="C128" i="1"/>
  <c r="E127" i="1"/>
  <c r="B127" i="1"/>
  <c r="A126" i="1"/>
  <c r="D125" i="1"/>
  <c r="C124" i="1"/>
  <c r="E123" i="1"/>
  <c r="B123" i="1"/>
  <c r="A122" i="1"/>
  <c r="D121" i="1"/>
  <c r="C120" i="1"/>
  <c r="E119" i="1"/>
  <c r="B119" i="1"/>
  <c r="A118" i="1"/>
  <c r="D117" i="1"/>
  <c r="C116" i="1"/>
  <c r="E115" i="1"/>
  <c r="B115" i="1"/>
  <c r="A114" i="1"/>
  <c r="D113" i="1"/>
  <c r="C112" i="1"/>
  <c r="E111" i="1"/>
  <c r="B111" i="1"/>
  <c r="A110" i="1"/>
  <c r="D109" i="1"/>
  <c r="C108" i="1"/>
  <c r="E107" i="1"/>
  <c r="B107" i="1"/>
  <c r="A106" i="1"/>
  <c r="D105" i="1"/>
  <c r="C104" i="1"/>
  <c r="E103" i="1"/>
  <c r="B103" i="1"/>
  <c r="A102" i="1"/>
  <c r="D101" i="1"/>
  <c r="C100" i="1"/>
  <c r="E99" i="1"/>
  <c r="B99" i="1"/>
  <c r="A98" i="1"/>
  <c r="D97" i="1"/>
  <c r="C96" i="1"/>
  <c r="E95" i="1"/>
  <c r="B95" i="1"/>
  <c r="A94" i="1"/>
  <c r="D93" i="1"/>
  <c r="C92" i="1"/>
  <c r="E91" i="1"/>
  <c r="B91" i="1"/>
  <c r="A90" i="1"/>
  <c r="D89" i="1"/>
  <c r="G278" i="11"/>
  <c r="F285" i="1" s="1"/>
  <c r="G274" i="11"/>
  <c r="F281" i="1" s="1"/>
  <c r="G270" i="11"/>
  <c r="F277" i="1" s="1"/>
  <c r="G266" i="11"/>
  <c r="F273" i="1" s="1"/>
  <c r="G262" i="11"/>
  <c r="F269" i="1" s="1"/>
  <c r="G258" i="11"/>
  <c r="F265" i="1" s="1"/>
  <c r="G254" i="11"/>
  <c r="F261" i="1" s="1"/>
  <c r="G250" i="11"/>
  <c r="F257" i="1" s="1"/>
  <c r="G246" i="11"/>
  <c r="F253" i="1" s="1"/>
  <c r="G242" i="11"/>
  <c r="F249" i="1" s="1"/>
  <c r="G238" i="11"/>
  <c r="F245" i="1" s="1"/>
  <c r="G234" i="11"/>
  <c r="F241" i="1" s="1"/>
  <c r="G230" i="11"/>
  <c r="F237" i="1" s="1"/>
  <c r="D274" i="1"/>
  <c r="B256" i="1"/>
  <c r="A239" i="1"/>
  <c r="E220" i="1"/>
  <c r="B214" i="1"/>
  <c r="E211" i="1"/>
  <c r="D209" i="1"/>
  <c r="B207" i="1"/>
  <c r="C200" i="1"/>
  <c r="A198" i="1"/>
  <c r="E195" i="1"/>
  <c r="D193" i="1"/>
  <c r="B191" i="1"/>
  <c r="C184" i="1"/>
  <c r="A182" i="1"/>
  <c r="E179" i="1"/>
  <c r="E177" i="1"/>
  <c r="B176" i="1"/>
  <c r="D175" i="1"/>
  <c r="B173" i="1"/>
  <c r="C172" i="1"/>
  <c r="A170" i="1"/>
  <c r="C169" i="1"/>
  <c r="E167" i="1"/>
  <c r="A167" i="1"/>
  <c r="C166" i="1"/>
  <c r="D165" i="1"/>
  <c r="E164" i="1"/>
  <c r="A164" i="1"/>
  <c r="B163" i="1"/>
  <c r="D162" i="1"/>
  <c r="E161" i="1"/>
  <c r="B160" i="1"/>
  <c r="D159" i="1"/>
  <c r="B157" i="1"/>
  <c r="C156" i="1"/>
  <c r="A154" i="1"/>
  <c r="C153" i="1"/>
  <c r="E151" i="1"/>
  <c r="A151" i="1"/>
  <c r="C150" i="1"/>
  <c r="D149" i="1"/>
  <c r="E148" i="1"/>
  <c r="A148" i="1"/>
  <c r="B147" i="1"/>
  <c r="D146" i="1"/>
  <c r="E145" i="1"/>
  <c r="B144" i="1"/>
  <c r="D143" i="1"/>
  <c r="B141" i="1"/>
  <c r="C140" i="1"/>
  <c r="A138" i="1"/>
  <c r="C137" i="1"/>
  <c r="E135" i="1"/>
  <c r="A135" i="1"/>
  <c r="C134" i="1"/>
  <c r="D133" i="1"/>
  <c r="E132" i="1"/>
  <c r="B132" i="1"/>
  <c r="A131" i="1"/>
  <c r="D130" i="1"/>
  <c r="C129" i="1"/>
  <c r="E128" i="1"/>
  <c r="B128" i="1"/>
  <c r="A127" i="1"/>
  <c r="D126" i="1"/>
  <c r="C125" i="1"/>
  <c r="E124" i="1"/>
  <c r="B124" i="1"/>
  <c r="A123" i="1"/>
  <c r="D122" i="1"/>
  <c r="C121" i="1"/>
  <c r="E120" i="1"/>
  <c r="B120" i="1"/>
  <c r="A119" i="1"/>
  <c r="D118" i="1"/>
  <c r="C117" i="1"/>
  <c r="E116" i="1"/>
  <c r="B116" i="1"/>
  <c r="A115" i="1"/>
  <c r="D114" i="1"/>
  <c r="C113" i="1"/>
  <c r="E112" i="1"/>
  <c r="B112" i="1"/>
  <c r="A111" i="1"/>
  <c r="D110" i="1"/>
  <c r="C109" i="1"/>
  <c r="E108" i="1"/>
  <c r="B108" i="1"/>
  <c r="A107" i="1"/>
  <c r="D106" i="1"/>
  <c r="C105" i="1"/>
  <c r="E104" i="1"/>
  <c r="B104" i="1"/>
  <c r="A103" i="1"/>
  <c r="D102" i="1"/>
  <c r="C101" i="1"/>
  <c r="E100" i="1"/>
  <c r="B100" i="1"/>
  <c r="A99" i="1"/>
  <c r="D98" i="1"/>
  <c r="C97" i="1"/>
  <c r="E236" i="1"/>
  <c r="D218" i="1"/>
  <c r="D213" i="1"/>
  <c r="B211" i="1"/>
  <c r="C204" i="1"/>
  <c r="A202" i="1"/>
  <c r="E199" i="1"/>
  <c r="D197" i="1"/>
  <c r="B195" i="1"/>
  <c r="C188" i="1"/>
  <c r="A186" i="1"/>
  <c r="E183" i="1"/>
  <c r="D181" i="1"/>
  <c r="B179" i="1"/>
  <c r="D177" i="1"/>
  <c r="E176" i="1"/>
  <c r="A176" i="1"/>
  <c r="B175" i="1"/>
  <c r="D174" i="1"/>
  <c r="E173" i="1"/>
  <c r="B172" i="1"/>
  <c r="D171" i="1"/>
  <c r="B169" i="1"/>
  <c r="C168" i="1"/>
  <c r="A166" i="1"/>
  <c r="C165" i="1"/>
  <c r="E163" i="1"/>
  <c r="A163" i="1"/>
  <c r="C162" i="1"/>
  <c r="D161" i="1"/>
  <c r="E160" i="1"/>
  <c r="A160" i="1"/>
  <c r="B159" i="1"/>
  <c r="D158" i="1"/>
  <c r="E157" i="1"/>
  <c r="B156" i="1"/>
  <c r="D155" i="1"/>
  <c r="B153" i="1"/>
  <c r="C152" i="1"/>
  <c r="A150" i="1"/>
  <c r="C149" i="1"/>
  <c r="E147" i="1"/>
  <c r="A147" i="1"/>
  <c r="C146" i="1"/>
  <c r="D145" i="1"/>
  <c r="E144" i="1"/>
  <c r="A144" i="1"/>
  <c r="B143" i="1"/>
  <c r="D142" i="1"/>
  <c r="E141" i="1"/>
  <c r="B140" i="1"/>
  <c r="D139" i="1"/>
  <c r="B137" i="1"/>
  <c r="C136" i="1"/>
  <c r="A134" i="1"/>
  <c r="C133" i="1"/>
  <c r="A132" i="1"/>
  <c r="D131" i="1"/>
  <c r="C130" i="1"/>
  <c r="E129" i="1"/>
  <c r="B129" i="1"/>
  <c r="A128" i="1"/>
  <c r="D127" i="1"/>
  <c r="C126" i="1"/>
  <c r="E125" i="1"/>
  <c r="B125" i="1"/>
  <c r="A124" i="1"/>
  <c r="D123" i="1"/>
  <c r="C122" i="1"/>
  <c r="E121" i="1"/>
  <c r="B121" i="1"/>
  <c r="A120" i="1"/>
  <c r="D119" i="1"/>
  <c r="C118" i="1"/>
  <c r="E117" i="1"/>
  <c r="B117" i="1"/>
  <c r="A116" i="1"/>
  <c r="D115" i="1"/>
  <c r="C114" i="1"/>
  <c r="E113" i="1"/>
  <c r="B113" i="1"/>
  <c r="A112" i="1"/>
  <c r="D111" i="1"/>
  <c r="C110" i="1"/>
  <c r="E109" i="1"/>
  <c r="B109" i="1"/>
  <c r="A108" i="1"/>
  <c r="D107" i="1"/>
  <c r="C106" i="1"/>
  <c r="E105" i="1"/>
  <c r="B105" i="1"/>
  <c r="A104" i="1"/>
  <c r="D103" i="1"/>
  <c r="C102" i="1"/>
  <c r="E101" i="1"/>
  <c r="B101" i="1"/>
  <c r="A100" i="1"/>
  <c r="D99" i="1"/>
  <c r="C98" i="1"/>
  <c r="E97" i="1"/>
  <c r="B97" i="1"/>
  <c r="A96" i="1"/>
  <c r="D95" i="1"/>
  <c r="C94" i="1"/>
  <c r="E93" i="1"/>
  <c r="B93" i="1"/>
  <c r="A92" i="1"/>
  <c r="D91" i="1"/>
  <c r="C90" i="1"/>
  <c r="E89" i="1"/>
  <c r="B89" i="1"/>
  <c r="G280" i="11"/>
  <c r="F287" i="1" s="1"/>
  <c r="G276" i="11"/>
  <c r="F283" i="1" s="1"/>
  <c r="G272" i="11"/>
  <c r="F279" i="1" s="1"/>
  <c r="G268" i="11"/>
  <c r="F275" i="1" s="1"/>
  <c r="G264" i="11"/>
  <c r="F271" i="1" s="1"/>
  <c r="G260" i="11"/>
  <c r="F267" i="1" s="1"/>
  <c r="G256" i="11"/>
  <c r="F263" i="1" s="1"/>
  <c r="G252" i="11"/>
  <c r="F259" i="1" s="1"/>
  <c r="G248" i="11"/>
  <c r="F255" i="1" s="1"/>
  <c r="G244" i="11"/>
  <c r="F251" i="1" s="1"/>
  <c r="G240" i="11"/>
  <c r="F247" i="1" s="1"/>
  <c r="G236" i="11"/>
  <c r="F243" i="1" s="1"/>
  <c r="G232" i="11"/>
  <c r="F239" i="1" s="1"/>
  <c r="C265" i="1"/>
  <c r="B216" i="1"/>
  <c r="A206" i="1"/>
  <c r="E187" i="1"/>
  <c r="A175" i="1"/>
  <c r="A172" i="1"/>
  <c r="E159" i="1"/>
  <c r="E156" i="1"/>
  <c r="E153" i="1"/>
  <c r="D141" i="1"/>
  <c r="D138" i="1"/>
  <c r="D135" i="1"/>
  <c r="D132" i="1"/>
  <c r="B130" i="1"/>
  <c r="C123" i="1"/>
  <c r="A121" i="1"/>
  <c r="E118" i="1"/>
  <c r="D116" i="1"/>
  <c r="B114" i="1"/>
  <c r="C107" i="1"/>
  <c r="A105" i="1"/>
  <c r="E102" i="1"/>
  <c r="D100" i="1"/>
  <c r="B98" i="1"/>
  <c r="D96" i="1"/>
  <c r="C95" i="1"/>
  <c r="B94" i="1"/>
  <c r="A93" i="1"/>
  <c r="E90" i="1"/>
  <c r="G281" i="11"/>
  <c r="F288" i="1" s="1"/>
  <c r="G273" i="11"/>
  <c r="F280" i="1" s="1"/>
  <c r="G265" i="11"/>
  <c r="F272" i="1" s="1"/>
  <c r="G257" i="11"/>
  <c r="F264" i="1" s="1"/>
  <c r="G249" i="11"/>
  <c r="F256" i="1" s="1"/>
  <c r="G233" i="11"/>
  <c r="F240" i="1" s="1"/>
  <c r="G223" i="11"/>
  <c r="F230" i="1" s="1"/>
  <c r="G219" i="11"/>
  <c r="F226" i="1" s="1"/>
  <c r="G215" i="11"/>
  <c r="F222" i="1" s="1"/>
  <c r="G203" i="11"/>
  <c r="F210" i="1" s="1"/>
  <c r="G191" i="11"/>
  <c r="F198" i="1" s="1"/>
  <c r="G179" i="11"/>
  <c r="F186" i="1" s="1"/>
  <c r="G167" i="11"/>
  <c r="F174" i="1" s="1"/>
  <c r="G159" i="11"/>
  <c r="F166" i="1" s="1"/>
  <c r="G147" i="11"/>
  <c r="F154" i="1" s="1"/>
  <c r="G135" i="11"/>
  <c r="F142" i="1" s="1"/>
  <c r="G119" i="11"/>
  <c r="F126" i="1" s="1"/>
  <c r="G107" i="11"/>
  <c r="F114" i="1" s="1"/>
  <c r="G99" i="11"/>
  <c r="F106" i="1" s="1"/>
  <c r="G87" i="11"/>
  <c r="F94" i="1" s="1"/>
  <c r="A247" i="1"/>
  <c r="E203" i="1"/>
  <c r="D185" i="1"/>
  <c r="C177" i="1"/>
  <c r="C174" i="1"/>
  <c r="B171" i="1"/>
  <c r="B168" i="1"/>
  <c r="B165" i="1"/>
  <c r="A162" i="1"/>
  <c r="A159" i="1"/>
  <c r="A156" i="1"/>
  <c r="E143" i="1"/>
  <c r="E140" i="1"/>
  <c r="E137" i="1"/>
  <c r="C127" i="1"/>
  <c r="A125" i="1"/>
  <c r="E122" i="1"/>
  <c r="D120" i="1"/>
  <c r="B118" i="1"/>
  <c r="C111" i="1"/>
  <c r="A109" i="1"/>
  <c r="E106" i="1"/>
  <c r="D104" i="1"/>
  <c r="B102" i="1"/>
  <c r="B96" i="1"/>
  <c r="A95" i="1"/>
  <c r="E92" i="1"/>
  <c r="D90" i="1"/>
  <c r="C89" i="1"/>
  <c r="G279" i="11"/>
  <c r="F286" i="1" s="1"/>
  <c r="G271" i="11"/>
  <c r="F278" i="1" s="1"/>
  <c r="G263" i="11"/>
  <c r="F270" i="1" s="1"/>
  <c r="G255" i="11"/>
  <c r="F262" i="1" s="1"/>
  <c r="G247" i="11"/>
  <c r="F254" i="1" s="1"/>
  <c r="G239" i="11"/>
  <c r="F246" i="1" s="1"/>
  <c r="G231" i="11"/>
  <c r="F238" i="1" s="1"/>
  <c r="G226" i="11"/>
  <c r="F233" i="1" s="1"/>
  <c r="G222" i="11"/>
  <c r="F229" i="1" s="1"/>
  <c r="G218" i="11"/>
  <c r="F225" i="1" s="1"/>
  <c r="G214" i="11"/>
  <c r="F221" i="1" s="1"/>
  <c r="G210" i="11"/>
  <c r="F217" i="1" s="1"/>
  <c r="G206" i="11"/>
  <c r="F213" i="1" s="1"/>
  <c r="G202" i="11"/>
  <c r="F209" i="1" s="1"/>
  <c r="G198" i="11"/>
  <c r="F205" i="1" s="1"/>
  <c r="G194" i="11"/>
  <c r="F201" i="1" s="1"/>
  <c r="G190" i="11"/>
  <c r="F197" i="1" s="1"/>
  <c r="G186" i="11"/>
  <c r="F193" i="1" s="1"/>
  <c r="G182" i="11"/>
  <c r="F189" i="1" s="1"/>
  <c r="G178" i="11"/>
  <c r="F185" i="1" s="1"/>
  <c r="G174" i="11"/>
  <c r="F181" i="1" s="1"/>
  <c r="G170" i="11"/>
  <c r="F177" i="1" s="1"/>
  <c r="G166" i="11"/>
  <c r="F173" i="1" s="1"/>
  <c r="G162" i="11"/>
  <c r="F169" i="1" s="1"/>
  <c r="G158" i="11"/>
  <c r="F165" i="1" s="1"/>
  <c r="G154" i="11"/>
  <c r="F161" i="1" s="1"/>
  <c r="G150" i="11"/>
  <c r="F157" i="1" s="1"/>
  <c r="G146" i="11"/>
  <c r="F153" i="1" s="1"/>
  <c r="G142" i="11"/>
  <c r="F149" i="1" s="1"/>
  <c r="G138" i="11"/>
  <c r="F145" i="1" s="1"/>
  <c r="G134" i="11"/>
  <c r="F141" i="1" s="1"/>
  <c r="G130" i="11"/>
  <c r="F137" i="1" s="1"/>
  <c r="G126" i="11"/>
  <c r="F133" i="1" s="1"/>
  <c r="G122" i="11"/>
  <c r="F129" i="1" s="1"/>
  <c r="G118" i="11"/>
  <c r="F125" i="1" s="1"/>
  <c r="G114" i="11"/>
  <c r="F121" i="1" s="1"/>
  <c r="G110" i="11"/>
  <c r="F117" i="1" s="1"/>
  <c r="G106" i="11"/>
  <c r="F113" i="1" s="1"/>
  <c r="G102" i="11"/>
  <c r="F109" i="1" s="1"/>
  <c r="G98" i="11"/>
  <c r="F105" i="1" s="1"/>
  <c r="G94" i="11"/>
  <c r="F101" i="1" s="1"/>
  <c r="G90" i="11"/>
  <c r="F97" i="1" s="1"/>
  <c r="G86" i="11"/>
  <c r="F93" i="1" s="1"/>
  <c r="G82" i="11"/>
  <c r="F89" i="1" s="1"/>
  <c r="G267" i="11"/>
  <c r="F274" i="1" s="1"/>
  <c r="G235" i="11"/>
  <c r="F242" i="1" s="1"/>
  <c r="G224" i="11"/>
  <c r="F231" i="1" s="1"/>
  <c r="G216" i="11"/>
  <c r="F223" i="1" s="1"/>
  <c r="G208" i="11"/>
  <c r="F215" i="1" s="1"/>
  <c r="G204" i="11"/>
  <c r="F211" i="1" s="1"/>
  <c r="G196" i="11"/>
  <c r="F203" i="1" s="1"/>
  <c r="G192" i="11"/>
  <c r="F199" i="1" s="1"/>
  <c r="G184" i="11"/>
  <c r="F191" i="1" s="1"/>
  <c r="G180" i="11"/>
  <c r="F187" i="1" s="1"/>
  <c r="G172" i="11"/>
  <c r="F179" i="1" s="1"/>
  <c r="G168" i="11"/>
  <c r="F175" i="1" s="1"/>
  <c r="G160" i="11"/>
  <c r="F167" i="1" s="1"/>
  <c r="G156" i="11"/>
  <c r="F163" i="1" s="1"/>
  <c r="G148" i="11"/>
  <c r="F155" i="1" s="1"/>
  <c r="G144" i="11"/>
  <c r="F151" i="1" s="1"/>
  <c r="G136" i="11"/>
  <c r="F143" i="1" s="1"/>
  <c r="G128" i="11"/>
  <c r="F135" i="1" s="1"/>
  <c r="G124" i="11"/>
  <c r="F131" i="1" s="1"/>
  <c r="G116" i="11"/>
  <c r="F123" i="1" s="1"/>
  <c r="G108" i="11"/>
  <c r="F115" i="1" s="1"/>
  <c r="G100" i="11"/>
  <c r="F107" i="1" s="1"/>
  <c r="G96" i="11"/>
  <c r="F103" i="1" s="1"/>
  <c r="G88" i="11"/>
  <c r="F95" i="1" s="1"/>
  <c r="G241" i="11"/>
  <c r="F248" i="1" s="1"/>
  <c r="G207" i="11"/>
  <c r="F214" i="1" s="1"/>
  <c r="G195" i="11"/>
  <c r="F202" i="1" s="1"/>
  <c r="G183" i="11"/>
  <c r="F190" i="1" s="1"/>
  <c r="G175" i="11"/>
  <c r="F182" i="1" s="1"/>
  <c r="G163" i="11"/>
  <c r="F170" i="1" s="1"/>
  <c r="G151" i="11"/>
  <c r="F158" i="1" s="1"/>
  <c r="G143" i="11"/>
  <c r="F150" i="1" s="1"/>
  <c r="G131" i="11"/>
  <c r="F138" i="1" s="1"/>
  <c r="G123" i="11"/>
  <c r="F130" i="1" s="1"/>
  <c r="G115" i="11"/>
  <c r="F122" i="1" s="1"/>
  <c r="G103" i="11"/>
  <c r="F110" i="1" s="1"/>
  <c r="G91" i="11"/>
  <c r="F98" i="1" s="1"/>
  <c r="D234" i="1"/>
  <c r="D201" i="1"/>
  <c r="C192" i="1"/>
  <c r="B183" i="1"/>
  <c r="D173" i="1"/>
  <c r="D170" i="1"/>
  <c r="D167" i="1"/>
  <c r="C164" i="1"/>
  <c r="C161" i="1"/>
  <c r="C158" i="1"/>
  <c r="B155" i="1"/>
  <c r="B152" i="1"/>
  <c r="B149" i="1"/>
  <c r="A146" i="1"/>
  <c r="A143" i="1"/>
  <c r="A140" i="1"/>
  <c r="C131" i="1"/>
  <c r="A129" i="1"/>
  <c r="E126" i="1"/>
  <c r="D124" i="1"/>
  <c r="B122" i="1"/>
  <c r="C115" i="1"/>
  <c r="A113" i="1"/>
  <c r="E110" i="1"/>
  <c r="D108" i="1"/>
  <c r="B106" i="1"/>
  <c r="C99" i="1"/>
  <c r="A97" i="1"/>
  <c r="E94" i="1"/>
  <c r="D92" i="1"/>
  <c r="C91" i="1"/>
  <c r="B90" i="1"/>
  <c r="A89" i="1"/>
  <c r="G277" i="11"/>
  <c r="F284" i="1" s="1"/>
  <c r="G269" i="11"/>
  <c r="F276" i="1" s="1"/>
  <c r="G261" i="11"/>
  <c r="F268" i="1" s="1"/>
  <c r="G253" i="11"/>
  <c r="F260" i="1" s="1"/>
  <c r="G245" i="11"/>
  <c r="F252" i="1" s="1"/>
  <c r="G237" i="11"/>
  <c r="F244" i="1" s="1"/>
  <c r="G229" i="11"/>
  <c r="F236" i="1" s="1"/>
  <c r="G225" i="11"/>
  <c r="F232" i="1" s="1"/>
  <c r="G221" i="11"/>
  <c r="F228" i="1" s="1"/>
  <c r="G217" i="11"/>
  <c r="F224" i="1" s="1"/>
  <c r="G213" i="11"/>
  <c r="F220" i="1" s="1"/>
  <c r="G209" i="11"/>
  <c r="F216" i="1" s="1"/>
  <c r="G205" i="11"/>
  <c r="F212" i="1" s="1"/>
  <c r="G201" i="11"/>
  <c r="F208" i="1" s="1"/>
  <c r="G197" i="11"/>
  <c r="F204" i="1" s="1"/>
  <c r="G193" i="11"/>
  <c r="F200" i="1" s="1"/>
  <c r="G189" i="11"/>
  <c r="F196" i="1" s="1"/>
  <c r="G185" i="11"/>
  <c r="F192" i="1" s="1"/>
  <c r="G181" i="11"/>
  <c r="F188" i="1" s="1"/>
  <c r="G177" i="11"/>
  <c r="F184" i="1" s="1"/>
  <c r="G173" i="11"/>
  <c r="F180" i="1" s="1"/>
  <c r="G169" i="11"/>
  <c r="F176" i="1" s="1"/>
  <c r="G165" i="11"/>
  <c r="F172" i="1" s="1"/>
  <c r="G161" i="11"/>
  <c r="F168" i="1" s="1"/>
  <c r="G157" i="11"/>
  <c r="F164" i="1" s="1"/>
  <c r="G153" i="11"/>
  <c r="F160" i="1" s="1"/>
  <c r="G149" i="11"/>
  <c r="F156" i="1" s="1"/>
  <c r="G145" i="11"/>
  <c r="F152" i="1" s="1"/>
  <c r="G141" i="11"/>
  <c r="F148" i="1" s="1"/>
  <c r="G137" i="11"/>
  <c r="F144" i="1" s="1"/>
  <c r="G133" i="11"/>
  <c r="F140" i="1" s="1"/>
  <c r="G129" i="11"/>
  <c r="F136" i="1" s="1"/>
  <c r="G125" i="11"/>
  <c r="F132" i="1" s="1"/>
  <c r="G121" i="11"/>
  <c r="F128" i="1" s="1"/>
  <c r="G117" i="11"/>
  <c r="F124" i="1" s="1"/>
  <c r="G113" i="11"/>
  <c r="F120" i="1" s="1"/>
  <c r="G109" i="11"/>
  <c r="F116" i="1" s="1"/>
  <c r="G105" i="11"/>
  <c r="F112" i="1" s="1"/>
  <c r="G101" i="11"/>
  <c r="F108" i="1" s="1"/>
  <c r="G97" i="11"/>
  <c r="F104" i="1" s="1"/>
  <c r="G93" i="11"/>
  <c r="F100" i="1" s="1"/>
  <c r="G89" i="11"/>
  <c r="F96" i="1" s="1"/>
  <c r="G85" i="11"/>
  <c r="F92" i="1" s="1"/>
  <c r="C225" i="1"/>
  <c r="C208" i="1"/>
  <c r="B199" i="1"/>
  <c r="A190" i="1"/>
  <c r="E175" i="1"/>
  <c r="E172" i="1"/>
  <c r="E169" i="1"/>
  <c r="D157" i="1"/>
  <c r="D154" i="1"/>
  <c r="D151" i="1"/>
  <c r="C148" i="1"/>
  <c r="C145" i="1"/>
  <c r="C142" i="1"/>
  <c r="B139" i="1"/>
  <c r="B136" i="1"/>
  <c r="B133" i="1"/>
  <c r="E130" i="1"/>
  <c r="D128" i="1"/>
  <c r="B126" i="1"/>
  <c r="C119" i="1"/>
  <c r="A117" i="1"/>
  <c r="E114" i="1"/>
  <c r="D112" i="1"/>
  <c r="B110" i="1"/>
  <c r="C103" i="1"/>
  <c r="A101" i="1"/>
  <c r="E98" i="1"/>
  <c r="E96" i="1"/>
  <c r="D94" i="1"/>
  <c r="C93" i="1"/>
  <c r="B92" i="1"/>
  <c r="A91" i="1"/>
  <c r="G275" i="11"/>
  <c r="F282" i="1" s="1"/>
  <c r="G259" i="11"/>
  <c r="F266" i="1" s="1"/>
  <c r="G251" i="11"/>
  <c r="F258" i="1" s="1"/>
  <c r="G243" i="11"/>
  <c r="F250" i="1" s="1"/>
  <c r="G228" i="11"/>
  <c r="F235" i="1" s="1"/>
  <c r="G220" i="11"/>
  <c r="F227" i="1" s="1"/>
  <c r="G212" i="11"/>
  <c r="F219" i="1" s="1"/>
  <c r="G200" i="11"/>
  <c r="F207" i="1" s="1"/>
  <c r="G188" i="11"/>
  <c r="F195" i="1" s="1"/>
  <c r="G176" i="11"/>
  <c r="F183" i="1" s="1"/>
  <c r="G164" i="11"/>
  <c r="F171" i="1" s="1"/>
  <c r="G152" i="11"/>
  <c r="F159" i="1" s="1"/>
  <c r="G140" i="11"/>
  <c r="F147" i="1" s="1"/>
  <c r="G132" i="11"/>
  <c r="F139" i="1" s="1"/>
  <c r="G120" i="11"/>
  <c r="F127" i="1" s="1"/>
  <c r="G112" i="11"/>
  <c r="F119" i="1" s="1"/>
  <c r="G104" i="11"/>
  <c r="F111" i="1" s="1"/>
  <c r="G92" i="11"/>
  <c r="F99" i="1" s="1"/>
  <c r="G84" i="11"/>
  <c r="F91" i="1" s="1"/>
  <c r="G227" i="11"/>
  <c r="F234" i="1" s="1"/>
  <c r="G211" i="11"/>
  <c r="F218" i="1" s="1"/>
  <c r="G199" i="11"/>
  <c r="F206" i="1" s="1"/>
  <c r="G187" i="11"/>
  <c r="F194" i="1" s="1"/>
  <c r="G171" i="11"/>
  <c r="F178" i="1" s="1"/>
  <c r="G155" i="11"/>
  <c r="F162" i="1" s="1"/>
  <c r="G139" i="11"/>
  <c r="F146" i="1" s="1"/>
  <c r="G127" i="11"/>
  <c r="F134" i="1" s="1"/>
  <c r="G111" i="11"/>
  <c r="F118" i="1" s="1"/>
  <c r="G95" i="11"/>
  <c r="F102" i="1" s="1"/>
  <c r="G83" i="11"/>
  <c r="F90" i="1" s="1"/>
  <c r="E87" i="1"/>
  <c r="D85" i="1"/>
  <c r="C80" i="1"/>
  <c r="A78" i="1"/>
  <c r="B75" i="1"/>
  <c r="C72" i="1"/>
  <c r="A70" i="1"/>
  <c r="B67" i="1"/>
  <c r="A42" i="11"/>
  <c r="G42" i="11" s="1"/>
  <c r="F49" i="1" s="1"/>
  <c r="E55" i="1"/>
  <c r="D61" i="1"/>
  <c r="E63" i="1"/>
  <c r="A66" i="1"/>
  <c r="C68" i="1"/>
  <c r="B71" i="1"/>
  <c r="A74" i="1"/>
  <c r="C76" i="1"/>
  <c r="B79" i="1"/>
  <c r="D81" i="1"/>
  <c r="E83" i="1"/>
  <c r="G68" i="11"/>
  <c r="F75" i="1" s="1"/>
  <c r="C18" i="14"/>
  <c r="C9" i="14"/>
  <c r="C10" i="14"/>
  <c r="C12" i="14" s="1"/>
  <c r="C9" i="15"/>
  <c r="B44" i="14"/>
  <c r="C15" i="45" l="1"/>
  <c r="K35" i="45" s="1"/>
  <c r="B47" i="44"/>
  <c r="B49" i="43"/>
  <c r="D35" i="42" s="1"/>
  <c r="S6" i="43" s="1"/>
  <c r="C14" i="43"/>
  <c r="C29" i="43" s="1"/>
  <c r="C24" i="45"/>
  <c r="C25" i="45" s="1"/>
  <c r="C21" i="43"/>
  <c r="C5" i="47" s="1"/>
  <c r="S6" i="34"/>
  <c r="S15" i="34"/>
  <c r="S21" i="34" s="1"/>
  <c r="S23" i="34" s="1"/>
  <c r="S24" i="34" s="1"/>
  <c r="D59" i="34"/>
  <c r="B46" i="34" s="1"/>
  <c r="S15" i="43"/>
  <c r="S21" i="43" s="1"/>
  <c r="S23" i="43" s="1"/>
  <c r="S24" i="43" s="1"/>
  <c r="D29" i="33"/>
  <c r="B47" i="35"/>
  <c r="I35" i="36"/>
  <c r="C15" i="36"/>
  <c r="K35" i="36" s="1"/>
  <c r="D40" i="42"/>
  <c r="D57" i="42"/>
  <c r="D54" i="33" s="1"/>
  <c r="D32" i="42"/>
  <c r="D33" i="42" s="1"/>
  <c r="B15" i="19"/>
  <c r="B16" i="19" s="1"/>
  <c r="F8" i="19"/>
  <c r="F9" i="19" s="1"/>
  <c r="D30" i="11" s="1"/>
  <c r="A49" i="1"/>
  <c r="C19" i="14"/>
  <c r="C20" i="14"/>
  <c r="D44" i="14" s="1"/>
  <c r="B49" i="14"/>
  <c r="D31" i="11" s="1"/>
  <c r="C14" i="14"/>
  <c r="C29" i="14" s="1"/>
  <c r="C10" i="15"/>
  <c r="F35" i="15" s="1"/>
  <c r="C12" i="15"/>
  <c r="C11" i="15"/>
  <c r="B9" i="46" l="1"/>
  <c r="B11" i="46" s="1"/>
  <c r="D42" i="42" s="1"/>
  <c r="D45" i="42" s="1"/>
  <c r="C32" i="43"/>
  <c r="D43" i="43"/>
  <c r="C30" i="43"/>
  <c r="B43" i="43"/>
  <c r="B35" i="45"/>
  <c r="C27" i="45"/>
  <c r="C35" i="45" s="1"/>
  <c r="S27" i="43"/>
  <c r="S28" i="43" s="1"/>
  <c r="D37" i="42" s="1"/>
  <c r="S25" i="43"/>
  <c r="S27" i="34"/>
  <c r="S28" i="34" s="1"/>
  <c r="D35" i="33" s="1"/>
  <c r="S25" i="34"/>
  <c r="D30" i="33"/>
  <c r="D31" i="33" s="1"/>
  <c r="D38" i="33"/>
  <c r="C24" i="36"/>
  <c r="B47" i="34"/>
  <c r="D27" i="33" s="1"/>
  <c r="D25" i="33"/>
  <c r="C21" i="14"/>
  <c r="C5" i="17" s="1"/>
  <c r="C30" i="14"/>
  <c r="D43" i="14"/>
  <c r="C32" i="14"/>
  <c r="B43" i="14"/>
  <c r="G35" i="15"/>
  <c r="C13" i="15"/>
  <c r="H35" i="15"/>
  <c r="C14" i="15"/>
  <c r="J35" i="15" s="1"/>
  <c r="D44" i="42" l="1"/>
  <c r="C40" i="43" s="1"/>
  <c r="B40" i="43"/>
  <c r="B9" i="47"/>
  <c r="C13" i="47" s="1"/>
  <c r="C14" i="47" s="1"/>
  <c r="C16" i="47" s="1"/>
  <c r="C18" i="47" s="1"/>
  <c r="D47" i="42"/>
  <c r="C17" i="47"/>
  <c r="C9" i="47"/>
  <c r="B57" i="43"/>
  <c r="D59" i="43" s="1"/>
  <c r="B46" i="43"/>
  <c r="S5" i="34"/>
  <c r="S8" i="34" s="1"/>
  <c r="S9" i="34" s="1"/>
  <c r="D36" i="33" s="1"/>
  <c r="D37" i="33" s="1"/>
  <c r="D26" i="33"/>
  <c r="D48" i="33" s="1"/>
  <c r="D47" i="33"/>
  <c r="C27" i="36"/>
  <c r="C35" i="36" s="1"/>
  <c r="B35" i="36"/>
  <c r="C25" i="36"/>
  <c r="B9" i="16"/>
  <c r="B11" i="16" s="1"/>
  <c r="H25" i="11" s="1"/>
  <c r="H27" i="11" s="1"/>
  <c r="C15" i="15"/>
  <c r="K35" i="15" s="1"/>
  <c r="I35" i="15"/>
  <c r="D27" i="42" l="1"/>
  <c r="B47" i="43"/>
  <c r="D29" i="42" s="1"/>
  <c r="C57" i="42" s="1"/>
  <c r="C54" i="33" s="1"/>
  <c r="B40" i="14"/>
  <c r="B57" i="14" s="1"/>
  <c r="H30" i="11"/>
  <c r="F42" i="11" s="1"/>
  <c r="E49" i="1" s="1"/>
  <c r="B9" i="17"/>
  <c r="C13" i="17" s="1"/>
  <c r="C14" i="17" s="1"/>
  <c r="C16" i="17" s="1"/>
  <c r="C17" i="17" s="1"/>
  <c r="C18" i="17" s="1"/>
  <c r="E42" i="11"/>
  <c r="J42" i="11" s="1" a="1"/>
  <c r="J42" i="11" s="1"/>
  <c r="H28" i="11"/>
  <c r="C9" i="17"/>
  <c r="D42" i="11"/>
  <c r="D49" i="1" s="1"/>
  <c r="C40" i="14"/>
  <c r="B46" i="14"/>
  <c r="C24" i="15"/>
  <c r="B57" i="42" l="1"/>
  <c r="B54" i="33" s="1"/>
  <c r="D49" i="42"/>
  <c r="E57" i="42" s="1"/>
  <c r="E54" i="33" s="1"/>
  <c r="S5" i="43"/>
  <c r="S8" i="43" s="1"/>
  <c r="S9" i="43" s="1"/>
  <c r="D38" i="42" s="1"/>
  <c r="D39" i="42" s="1"/>
  <c r="D28" i="42"/>
  <c r="D50" i="42" s="1"/>
  <c r="D59" i="14"/>
  <c r="B47" i="14"/>
  <c r="D28" i="11" s="1"/>
  <c r="C42" i="11" s="1"/>
  <c r="C49" i="1" s="1"/>
  <c r="D25" i="11"/>
  <c r="B35" i="15"/>
  <c r="C27" i="15"/>
  <c r="C35" i="15" s="1"/>
  <c r="C25" i="15"/>
  <c r="B42" i="11" l="1"/>
  <c r="B49" i="1" s="1"/>
  <c r="D26" i="11"/>
  <c r="Z85" i="2" l="1"/>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C12" i="2"/>
  <c r="Z18" i="2"/>
  <c r="Z22" i="2"/>
  <c r="Z26" i="2"/>
  <c r="Z30" i="2"/>
  <c r="Z34" i="2"/>
  <c r="Z38" i="2"/>
  <c r="Z42" i="2"/>
  <c r="Z46" i="2"/>
  <c r="Z50" i="2"/>
  <c r="Z54" i="2"/>
  <c r="Z58" i="2"/>
  <c r="Z62" i="2"/>
  <c r="Z66" i="2"/>
  <c r="Z70" i="2"/>
  <c r="Z74" i="2"/>
  <c r="Z78" i="2"/>
  <c r="Z82" i="2"/>
  <c r="Z12" i="2"/>
  <c r="AB13" i="2"/>
  <c r="AC13" i="2" s="1"/>
  <c r="AB14" i="2"/>
  <c r="AC14" i="2" s="1"/>
  <c r="AB15" i="2"/>
  <c r="Z15" i="2" s="1"/>
  <c r="AB16" i="2"/>
  <c r="Z16" i="2" s="1"/>
  <c r="AB17" i="2"/>
  <c r="Z17" i="2" s="1"/>
  <c r="AB18" i="2"/>
  <c r="AC18" i="2" s="1"/>
  <c r="AB19" i="2"/>
  <c r="Z19" i="2" s="1"/>
  <c r="AB20" i="2"/>
  <c r="Z20" i="2" s="1"/>
  <c r="AB21" i="2"/>
  <c r="Z21" i="2" s="1"/>
  <c r="AB22" i="2"/>
  <c r="AC22" i="2" s="1"/>
  <c r="AB23" i="2"/>
  <c r="Z23" i="2" s="1"/>
  <c r="AB24" i="2"/>
  <c r="Z24" i="2" s="1"/>
  <c r="AB25" i="2"/>
  <c r="Z25" i="2" s="1"/>
  <c r="AB26" i="2"/>
  <c r="AC26" i="2" s="1"/>
  <c r="AB27" i="2"/>
  <c r="Z27" i="2" s="1"/>
  <c r="AB28" i="2"/>
  <c r="Z28" i="2" s="1"/>
  <c r="AB29" i="2"/>
  <c r="Z29" i="2" s="1"/>
  <c r="AB30" i="2"/>
  <c r="AC30" i="2" s="1"/>
  <c r="AB31" i="2"/>
  <c r="Z31" i="2" s="1"/>
  <c r="AB32" i="2"/>
  <c r="Z32" i="2" s="1"/>
  <c r="AB33" i="2"/>
  <c r="Z33" i="2" s="1"/>
  <c r="AB34" i="2"/>
  <c r="AC34" i="2" s="1"/>
  <c r="AB35" i="2"/>
  <c r="Z35" i="2" s="1"/>
  <c r="AB36" i="2"/>
  <c r="Z36" i="2" s="1"/>
  <c r="AB37" i="2"/>
  <c r="Z37" i="2" s="1"/>
  <c r="AB38" i="2"/>
  <c r="AC38" i="2" s="1"/>
  <c r="AB39" i="2"/>
  <c r="Z39" i="2" s="1"/>
  <c r="AB40" i="2"/>
  <c r="Z40" i="2" s="1"/>
  <c r="AB41" i="2"/>
  <c r="AC41" i="2" s="1"/>
  <c r="AB42" i="2"/>
  <c r="AC42" i="2" s="1"/>
  <c r="AB43" i="2"/>
  <c r="Z43" i="2" s="1"/>
  <c r="AB44" i="2"/>
  <c r="Z44" i="2" s="1"/>
  <c r="AB45" i="2"/>
  <c r="AC45" i="2" s="1"/>
  <c r="AB46" i="2"/>
  <c r="AC46" i="2" s="1"/>
  <c r="AB47" i="2"/>
  <c r="Z47" i="2" s="1"/>
  <c r="AB48" i="2"/>
  <c r="Z48" i="2" s="1"/>
  <c r="AB49" i="2"/>
  <c r="Z49" i="2" s="1"/>
  <c r="AB50" i="2"/>
  <c r="AC50" i="2" s="1"/>
  <c r="AB51" i="2"/>
  <c r="Z51" i="2" s="1"/>
  <c r="AB52" i="2"/>
  <c r="Z52" i="2" s="1"/>
  <c r="AB53" i="2"/>
  <c r="AC53" i="2" s="1"/>
  <c r="AB54" i="2"/>
  <c r="AC54" i="2" s="1"/>
  <c r="AB55" i="2"/>
  <c r="Z55" i="2" s="1"/>
  <c r="AB56" i="2"/>
  <c r="Z56" i="2" s="1"/>
  <c r="AB57" i="2"/>
  <c r="Z57" i="2" s="1"/>
  <c r="AB58" i="2"/>
  <c r="AC58" i="2" s="1"/>
  <c r="AB59" i="2"/>
  <c r="Z59" i="2" s="1"/>
  <c r="AB60" i="2"/>
  <c r="AC60" i="2" s="1"/>
  <c r="AB61" i="2"/>
  <c r="Z61" i="2" s="1"/>
  <c r="AB62" i="2"/>
  <c r="AC62" i="2" s="1"/>
  <c r="AB63" i="2"/>
  <c r="Z63" i="2" s="1"/>
  <c r="AB64" i="2"/>
  <c r="Z64" i="2" s="1"/>
  <c r="AB65" i="2"/>
  <c r="Z65" i="2" s="1"/>
  <c r="AB66" i="2"/>
  <c r="AC66" i="2" s="1"/>
  <c r="AB67" i="2"/>
  <c r="Z67" i="2" s="1"/>
  <c r="AB68" i="2"/>
  <c r="Z68" i="2" s="1"/>
  <c r="AB69" i="2"/>
  <c r="AC69" i="2" s="1"/>
  <c r="AB70" i="2"/>
  <c r="AC70" i="2" s="1"/>
  <c r="AB71" i="2"/>
  <c r="Z71" i="2" s="1"/>
  <c r="AB72" i="2"/>
  <c r="Z72" i="2" s="1"/>
  <c r="AB73" i="2"/>
  <c r="Z73" i="2" s="1"/>
  <c r="AB74" i="2"/>
  <c r="AC74" i="2" s="1"/>
  <c r="AB75" i="2"/>
  <c r="Z75" i="2" s="1"/>
  <c r="AB76" i="2"/>
  <c r="Z76" i="2" s="1"/>
  <c r="AB77" i="2"/>
  <c r="Z77" i="2" s="1"/>
  <c r="AB78" i="2"/>
  <c r="AC78" i="2" s="1"/>
  <c r="AB79" i="2"/>
  <c r="Z79" i="2" s="1"/>
  <c r="AB80" i="2"/>
  <c r="Z80" i="2" s="1"/>
  <c r="AB81" i="2"/>
  <c r="Z81" i="2" s="1"/>
  <c r="AB82" i="2"/>
  <c r="AC82" i="2" s="1"/>
  <c r="AB83" i="2"/>
  <c r="Z83" i="2" s="1"/>
  <c r="AB84" i="2"/>
  <c r="Z84" i="2" s="1"/>
  <c r="AB12" i="2"/>
  <c r="AC81" i="2" l="1"/>
  <c r="AC77" i="2"/>
  <c r="AC65" i="2"/>
  <c r="AC57" i="2"/>
  <c r="AC49" i="2"/>
  <c r="AC37" i="2"/>
  <c r="AC29" i="2"/>
  <c r="AC17" i="2"/>
  <c r="Z53" i="2"/>
  <c r="Z41" i="2"/>
  <c r="AC84" i="2"/>
  <c r="AC72" i="2"/>
  <c r="AC64" i="2"/>
  <c r="AC52" i="2"/>
  <c r="AC48" i="2"/>
  <c r="AC40" i="2"/>
  <c r="AC32" i="2"/>
  <c r="AC28" i="2"/>
  <c r="AC20" i="2"/>
  <c r="AC73" i="2"/>
  <c r="AC61" i="2"/>
  <c r="AC33" i="2"/>
  <c r="AC25" i="2"/>
  <c r="Z69" i="2"/>
  <c r="Z45" i="2"/>
  <c r="AC80" i="2"/>
  <c r="AC76" i="2"/>
  <c r="AC68" i="2"/>
  <c r="AC56" i="2"/>
  <c r="AC44" i="2"/>
  <c r="AC36" i="2"/>
  <c r="AC24" i="2"/>
  <c r="AC16" i="2"/>
  <c r="Z60" i="2"/>
  <c r="AC83" i="2"/>
  <c r="AC79" i="2"/>
  <c r="AC75" i="2"/>
  <c r="AC71" i="2"/>
  <c r="AC67" i="2"/>
  <c r="AC63" i="2"/>
  <c r="AC59" i="2"/>
  <c r="AC55" i="2"/>
  <c r="AC51" i="2"/>
  <c r="AC47" i="2"/>
  <c r="AC43" i="2"/>
  <c r="AC39" i="2"/>
  <c r="AC35" i="2"/>
  <c r="AC31" i="2"/>
  <c r="AC27" i="2"/>
  <c r="AC23" i="2"/>
  <c r="AC19" i="2"/>
  <c r="AC15" i="2"/>
  <c r="AC21" i="2"/>
  <c r="Z14" i="2"/>
  <c r="Z13" i="2"/>
  <c r="D5" i="1"/>
  <c r="D5" i="11" s="1"/>
  <c r="L59" i="2" l="1"/>
  <c r="B54" i="2"/>
  <c r="B55" i="2" s="1"/>
  <c r="K34" i="10" l="1"/>
  <c r="J34" i="10"/>
  <c r="I34" i="10"/>
  <c r="H34" i="10"/>
  <c r="G34" i="10"/>
  <c r="F34" i="10"/>
  <c r="E34" i="10"/>
  <c r="C6" i="10" l="1"/>
  <c r="C7" i="10" s="1"/>
  <c r="D35" i="10" l="1"/>
  <c r="C31" i="10"/>
  <c r="L27" i="10"/>
  <c r="L28" i="10" s="1"/>
  <c r="C20" i="10"/>
  <c r="C18" i="10"/>
  <c r="C19" i="10" s="1"/>
  <c r="C3" i="10"/>
  <c r="C4" i="10" s="1"/>
  <c r="C8" i="10" s="1"/>
  <c r="L44" i="2" l="1"/>
  <c r="D11" i="1" l="1"/>
  <c r="C23" i="7" l="1"/>
  <c r="E24" i="7"/>
  <c r="C24" i="7"/>
  <c r="C21" i="7"/>
  <c r="F5" i="4" l="1"/>
  <c r="F6" i="4" s="1"/>
  <c r="B5" i="4"/>
  <c r="F2" i="4"/>
  <c r="C5" i="7"/>
  <c r="C4" i="7"/>
  <c r="C3" i="7"/>
  <c r="G10" i="7" l="1"/>
  <c r="G11" i="7" s="1"/>
  <c r="C19" i="7"/>
  <c r="C11" i="7"/>
  <c r="C12" i="7"/>
  <c r="C7" i="5"/>
  <c r="F15" i="1"/>
  <c r="C17" i="2"/>
  <c r="F4" i="1"/>
  <c r="F5" i="1" s="1"/>
  <c r="C3" i="2"/>
  <c r="S13" i="2" s="1"/>
  <c r="B3" i="3"/>
  <c r="B4" i="3"/>
  <c r="C3" i="5"/>
  <c r="B11" i="5"/>
  <c r="C6" i="5"/>
  <c r="C4" i="5"/>
  <c r="C36" i="2"/>
  <c r="B65" i="2" s="1"/>
  <c r="B6" i="4"/>
  <c r="B3" i="4"/>
  <c r="B14" i="4" s="1"/>
  <c r="B1" i="3"/>
  <c r="B2" i="3"/>
  <c r="B5" i="3"/>
  <c r="C25" i="2"/>
  <c r="C23" i="2"/>
  <c r="C24" i="2" s="1"/>
  <c r="L33" i="2"/>
  <c r="L34" i="2" s="1"/>
  <c r="L4" i="1"/>
  <c r="L3" i="1"/>
  <c r="S17" i="2" l="1"/>
  <c r="C6" i="2"/>
  <c r="B56" i="2"/>
  <c r="C4" i="2"/>
  <c r="C15" i="5"/>
  <c r="B42" i="2"/>
  <c r="B8" i="4"/>
  <c r="B9" i="4" s="1"/>
  <c r="F3" i="4"/>
  <c r="B13" i="3"/>
  <c r="D37" i="1" s="1"/>
  <c r="B11" i="4"/>
  <c r="C18" i="2" l="1"/>
  <c r="C20" i="2" s="1"/>
  <c r="S14" i="2"/>
  <c r="S18" i="2"/>
  <c r="U17" i="2"/>
  <c r="B59" i="2"/>
  <c r="F4" i="4"/>
  <c r="F8" i="4"/>
  <c r="F9" i="4" s="1"/>
  <c r="D30" i="1" s="1"/>
  <c r="D31" i="1" s="1"/>
  <c r="B15" i="4"/>
  <c r="B16" i="4" s="1"/>
  <c r="C19" i="2" l="1"/>
  <c r="C13" i="7"/>
  <c r="C14" i="7" s="1"/>
  <c r="C15" i="7" s="1"/>
  <c r="F7" i="1" l="1"/>
  <c r="C22" i="10" l="1"/>
  <c r="C9" i="10"/>
  <c r="C5" i="2"/>
  <c r="B10" i="5"/>
  <c r="B7" i="3"/>
  <c r="B8" i="3" s="1"/>
  <c r="D44" i="2" l="1"/>
  <c r="E35" i="10"/>
  <c r="C10" i="10"/>
  <c r="F35" i="10" s="1"/>
  <c r="C11" i="10"/>
  <c r="C12" i="10"/>
  <c r="C7" i="2"/>
  <c r="C8" i="2" s="1"/>
  <c r="C27" i="2"/>
  <c r="B41" i="2" s="1"/>
  <c r="B44" i="2" s="1"/>
  <c r="C13" i="10" l="1"/>
  <c r="I35" i="10" s="1"/>
  <c r="G35" i="10"/>
  <c r="C14" i="10"/>
  <c r="J35" i="10" s="1"/>
  <c r="H35" i="10"/>
  <c r="C10" i="2"/>
  <c r="C11" i="2"/>
  <c r="C13" i="2" s="1"/>
  <c r="C9" i="2"/>
  <c r="C12" i="2" l="1"/>
  <c r="C21" i="2" s="1"/>
  <c r="C15" i="10"/>
  <c r="C24" i="10" s="1"/>
  <c r="B35" i="10" s="1"/>
  <c r="C14" i="2" l="1"/>
  <c r="K35" i="10"/>
  <c r="C27" i="10"/>
  <c r="C35" i="10" s="1"/>
  <c r="C25" i="10"/>
  <c r="C5" i="5"/>
  <c r="B9" i="3"/>
  <c r="B11" i="3" s="1"/>
  <c r="D36" i="1" s="1"/>
  <c r="C29" i="2" l="1"/>
  <c r="C32" i="2" s="1"/>
  <c r="D39" i="1"/>
  <c r="B40" i="2"/>
  <c r="B9" i="5"/>
  <c r="D38" i="1"/>
  <c r="C13" i="5" l="1"/>
  <c r="C14" i="5" s="1"/>
  <c r="C16" i="5" s="1"/>
  <c r="C17" i="5" s="1"/>
  <c r="C18" i="5" s="1"/>
  <c r="D41" i="1" s="1"/>
  <c r="D43" i="2"/>
  <c r="C30" i="2"/>
  <c r="B43" i="2"/>
  <c r="B57" i="2"/>
  <c r="C9" i="5"/>
  <c r="C40" i="2"/>
  <c r="B49" i="2" l="1"/>
  <c r="D33" i="1" s="1"/>
  <c r="D59" i="2"/>
  <c r="B46" i="2" s="1"/>
  <c r="S15" i="2" l="1"/>
  <c r="S21" i="2" s="1"/>
  <c r="S23" i="2" s="1"/>
  <c r="S24" i="2" s="1"/>
  <c r="S27" i="2" s="1"/>
  <c r="S6" i="2"/>
  <c r="B47" i="2"/>
  <c r="B61" i="2" s="1"/>
  <c r="D25" i="1"/>
  <c r="S5" i="2" s="1"/>
  <c r="S8" i="2" l="1"/>
  <c r="S9" i="2" s="1"/>
  <c r="C61" i="2"/>
  <c r="D28" i="1"/>
  <c r="S25" i="2"/>
  <c r="D26" i="1"/>
  <c r="S28" i="2" l="1"/>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Rajib Sinha</author>
  </authors>
  <commentList>
    <comment ref="B7" authorId="0" shapeId="0" xr:uid="{41E65CDD-90D5-4EFB-AF93-BF74E655A4D5}">
      <text>
        <r>
          <rPr>
            <b/>
            <sz val="9"/>
            <color indexed="81"/>
            <rFont val="Tahoma"/>
            <family val="2"/>
          </rPr>
          <t>Rajib Sinha:</t>
        </r>
        <r>
          <rPr>
            <sz val="9"/>
            <color indexed="81"/>
            <rFont val="Tahoma"/>
            <family val="2"/>
          </rPr>
          <t xml:space="preserve">
  The height of the water can be greater than the channel diameter up to 20 feet total.</t>
        </r>
      </text>
    </comment>
    <comment ref="B8" authorId="0" shapeId="0" xr:uid="{78F9EF17-E5C2-4F28-8CC1-9F9718F762A1}">
      <text>
        <r>
          <rPr>
            <b/>
            <sz val="9"/>
            <color indexed="81"/>
            <rFont val="Tahoma"/>
            <family val="2"/>
          </rPr>
          <t>Rajib Sinha:</t>
        </r>
        <r>
          <rPr>
            <sz val="9"/>
            <color indexed="81"/>
            <rFont val="Tahoma"/>
            <family val="2"/>
          </rPr>
          <t xml:space="preserve">
This is the maximum height of water before flooding occurs elsewhere in the system.  Limited to 20 feet in this model.</t>
        </r>
      </text>
    </comment>
    <comment ref="B10" authorId="0" shapeId="0" xr:uid="{5C3C1E90-AE4D-4FCC-BA63-BD6949314EAC}">
      <text>
        <r>
          <rPr>
            <b/>
            <sz val="9"/>
            <color indexed="81"/>
            <rFont val="Tahoma"/>
            <family val="2"/>
          </rPr>
          <t>Rajib Sinha:</t>
        </r>
        <r>
          <rPr>
            <sz val="9"/>
            <color indexed="81"/>
            <rFont val="Tahoma"/>
            <family val="2"/>
          </rPr>
          <t xml:space="preserve">
Ideally, the slope should be constant for about 10 pipe diameters upstream.  The program only accepts slopes up to 5% (since Manning's equation does not produce good results above that slope).</t>
        </r>
      </text>
    </comment>
    <comment ref="B12" authorId="0" shapeId="0" xr:uid="{99245B19-9FBA-4794-9690-1E6A7A3214F7}">
      <text>
        <r>
          <rPr>
            <b/>
            <sz val="9"/>
            <color indexed="81"/>
            <rFont val="Tahoma"/>
            <family val="2"/>
          </rPr>
          <t>Rajib Sinha:</t>
        </r>
        <r>
          <rPr>
            <sz val="9"/>
            <color indexed="81"/>
            <rFont val="Tahoma"/>
            <family val="2"/>
          </rPr>
          <t xml:space="preserve">
Usually between 0.0009 to 0.05.  Should be adjusted for the condition of the pipe.  For concrete pipe, use 0.011 as the initial parameter but this parameter is a function of the flow height so increase the number for pipes flowing more than a quarter full.Combined Flapgate Model V8R3.xlsx</t>
        </r>
      </text>
    </comment>
    <comment ref="B15" authorId="0" shapeId="0" xr:uid="{066F13EE-C2BB-455D-BC6A-A4B49B7F8D74}">
      <text>
        <r>
          <rPr>
            <b/>
            <sz val="9"/>
            <color indexed="81"/>
            <rFont val="Tahoma"/>
            <family val="2"/>
          </rPr>
          <t>Rajib Sinha:</t>
        </r>
        <r>
          <rPr>
            <sz val="9"/>
            <color indexed="81"/>
            <rFont val="Tahoma"/>
            <family val="2"/>
          </rPr>
          <t xml:space="preserve">
This parameter assumes a segment of the gate is removed to allow water to flow under low-flow conditions. Enter "0" if there is no opening.  Must be less than half the pipe diameter.
If you have a circular opening (e.g., a pipe in the flap gate), change this parameter until you get an "equivalent diameter" to match the diameter of the circular opening.
The circular opening must be at the bottom of the flap gate.</t>
        </r>
      </text>
    </comment>
    <comment ref="B17" authorId="0" shapeId="0" xr:uid="{3E177239-A739-4FDC-A775-EFC423F55AA6}">
      <text>
        <r>
          <rPr>
            <b/>
            <sz val="9"/>
            <color indexed="81"/>
            <rFont val="Tahoma"/>
            <family val="2"/>
          </rPr>
          <t>Rajib Sinha:</t>
        </r>
        <r>
          <rPr>
            <sz val="9"/>
            <color indexed="81"/>
            <rFont val="Tahoma"/>
            <family val="2"/>
          </rPr>
          <t xml:space="preserve">
Force can be placed on the gate using springs or magnets or some other device. Convert the sum of forces to a weight to be input into this cell.</t>
        </r>
      </text>
    </comment>
    <comment ref="B18" authorId="0" shapeId="0" xr:uid="{21B16EE7-77DB-4E09-88E4-20F3C293A688}">
      <text>
        <r>
          <rPr>
            <b/>
            <sz val="9"/>
            <color indexed="81"/>
            <rFont val="Tahoma"/>
            <family val="2"/>
          </rPr>
          <t>Rajib Sinha:</t>
        </r>
        <r>
          <rPr>
            <sz val="9"/>
            <color indexed="81"/>
            <rFont val="Tahoma"/>
            <family val="2"/>
          </rPr>
          <t xml:space="preserve">
The flap gate should be mounted on a flat-black seat with a seating face machined at an angle of 5 degrees or more from the vertical. This allows the gate to have a horizontal face component to completely seat the gate by gravity. 
If the gate is not mounted at an angle, enter "0" in this cell.</t>
        </r>
      </text>
    </comment>
    <comment ref="A19" authorId="0" shapeId="0" xr:uid="{E5E0D0FE-2E15-4AD4-8DD3-FDEF25BAA4FC}">
      <text>
        <r>
          <rPr>
            <b/>
            <sz val="9"/>
            <color indexed="81"/>
            <rFont val="Tahoma"/>
            <family val="2"/>
          </rPr>
          <t>Rajib Sinha:</t>
        </r>
        <r>
          <rPr>
            <sz val="9"/>
            <color indexed="81"/>
            <rFont val="Tahoma"/>
            <family val="2"/>
          </rPr>
          <t xml:space="preserve">
This parameter is the location of the weight from the hinge.  The current model does not include this parameter and the weight has been assumed to be located at the center of moment for the gate.</t>
        </r>
      </text>
    </comment>
    <comment ref="B20" authorId="0" shapeId="0" xr:uid="{1E18339D-8C6E-4DC8-BF51-733EAAED6ACA}">
      <text>
        <r>
          <rPr>
            <b/>
            <sz val="9"/>
            <color indexed="81"/>
            <rFont val="Tahoma"/>
            <family val="2"/>
          </rPr>
          <t>Rajib Sinha:</t>
        </r>
        <r>
          <rPr>
            <sz val="9"/>
            <color indexed="81"/>
            <rFont val="Tahoma"/>
            <family val="2"/>
          </rPr>
          <t xml:space="preserve">
The discharge coefficient is a dimensionless number used to characterize the flow and pressure loss behavior of nozzles and orifices in fluid systems.  Use 0.8 as the initial parameter.</t>
        </r>
      </text>
    </comment>
    <comment ref="A36" authorId="0" shapeId="0" xr:uid="{C62085E6-27EE-4166-A484-C5D1A3D0B23F}">
      <text>
        <r>
          <rPr>
            <b/>
            <sz val="9"/>
            <color indexed="81"/>
            <rFont val="Tahoma"/>
            <family val="2"/>
          </rPr>
          <t>Rajib Sinha:</t>
        </r>
        <r>
          <rPr>
            <sz val="9"/>
            <color indexed="81"/>
            <rFont val="Tahoma"/>
            <family val="2"/>
          </rPr>
          <t xml:space="preserve">
If the gate is closed, this is the static head on the gate. Otherwise, it's the equivalent force on the center of moment of the gate.
</t>
        </r>
      </text>
    </comment>
    <comment ref="B36" authorId="0" shapeId="0" xr:uid="{FFE347F6-921D-48D7-878F-911C68507B1F}">
      <text>
        <r>
          <rPr>
            <b/>
            <sz val="9"/>
            <color indexed="81"/>
            <rFont val="Tahoma"/>
            <family val="2"/>
          </rPr>
          <t>Rajib Sinha:</t>
        </r>
        <r>
          <rPr>
            <sz val="9"/>
            <color indexed="81"/>
            <rFont val="Tahoma"/>
            <family val="2"/>
          </rPr>
          <t xml:space="preserve">
If the gate is closed, this is the static head on the gate. Otherwise, it's the equivalent force on the center of moment of the gate.
</t>
        </r>
      </text>
    </comment>
    <comment ref="A39" authorId="0" shapeId="0" xr:uid="{21031B87-D52F-4620-869F-987D00CF3E99}">
      <text>
        <r>
          <rPr>
            <b/>
            <sz val="9"/>
            <color indexed="81"/>
            <rFont val="Tahoma"/>
            <family val="2"/>
          </rPr>
          <t>Rajib Sinha:</t>
        </r>
        <r>
          <rPr>
            <sz val="9"/>
            <color indexed="81"/>
            <rFont val="Tahoma"/>
            <family val="2"/>
          </rPr>
          <t xml:space="preserve">
This is the force that a spring or a magnet would have to exert on the gate to keep it closed.</t>
        </r>
      </text>
    </comment>
    <comment ref="B39" authorId="0" shapeId="0" xr:uid="{02A3C205-A099-4F9F-9419-804D1C3712ED}">
      <text>
        <r>
          <rPr>
            <b/>
            <sz val="9"/>
            <color indexed="81"/>
            <rFont val="Tahoma"/>
            <family val="2"/>
          </rPr>
          <t>Rajib Sinha:</t>
        </r>
        <r>
          <rPr>
            <sz val="9"/>
            <color indexed="81"/>
            <rFont val="Tahoma"/>
            <family val="2"/>
          </rPr>
          <t xml:space="preserve">
This is the force that a spring or a magnet would have to exert on the gate to keep it closed.</t>
        </r>
      </text>
    </comment>
    <comment ref="A41" authorId="0" shapeId="0" xr:uid="{A096F8A8-DD3E-4D52-9554-BC7C57E59009}">
      <text>
        <r>
          <rPr>
            <b/>
            <sz val="9"/>
            <color indexed="81"/>
            <rFont val="Tahoma"/>
            <family val="2"/>
          </rPr>
          <t>Rajib Sinha:</t>
        </r>
        <r>
          <rPr>
            <sz val="9"/>
            <color indexed="81"/>
            <rFont val="Tahoma"/>
            <family val="2"/>
          </rPr>
          <t xml:space="preserve">
"Fully Open" represents a 90 degree opening from the vertical.</t>
        </r>
      </text>
    </comment>
    <comment ref="B41" authorId="0" shapeId="0" xr:uid="{D26442E1-9D39-42BE-B7C5-A51523B4BB9E}">
      <text>
        <r>
          <rPr>
            <b/>
            <sz val="9"/>
            <color indexed="81"/>
            <rFont val="Tahoma"/>
            <family val="2"/>
          </rPr>
          <t>Rajib Sinha:</t>
        </r>
        <r>
          <rPr>
            <sz val="9"/>
            <color indexed="81"/>
            <rFont val="Tahoma"/>
            <family val="2"/>
          </rPr>
          <t xml:space="preserve">
"Fully Open" represents a 90 degree opening from the vertical.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Rajib Sinha</author>
  </authors>
  <commentList>
    <comment ref="B4" authorId="0" shapeId="0" xr:uid="{968AF564-C4A3-4B27-8187-268C1E8AF1CF}">
      <text>
        <r>
          <rPr>
            <b/>
            <sz val="9"/>
            <color indexed="81"/>
            <rFont val="Tahoma"/>
            <family val="2"/>
          </rPr>
          <t>Rajib Sinha:</t>
        </r>
        <r>
          <rPr>
            <sz val="9"/>
            <color indexed="81"/>
            <rFont val="Tahoma"/>
            <family val="2"/>
          </rPr>
          <t xml:space="preserve">
Enter the sewer diameter for reference. This value is not used in the calculations in this spreadsheet.</t>
        </r>
      </text>
    </comment>
    <comment ref="B7" authorId="0" shapeId="0" xr:uid="{52BD1B2F-9313-4E1D-A96C-1D3F4ADED737}">
      <text>
        <r>
          <rPr>
            <b/>
            <sz val="9"/>
            <color indexed="81"/>
            <rFont val="Tahoma"/>
            <family val="2"/>
          </rPr>
          <t>Rajib Sinha:</t>
        </r>
        <r>
          <rPr>
            <sz val="9"/>
            <color indexed="81"/>
            <rFont val="Tahoma"/>
            <family val="2"/>
          </rPr>
          <t xml:space="preserve">
  The height of the water can be greater than the channel diameter up to 20 feet total.</t>
        </r>
      </text>
    </comment>
    <comment ref="B8" authorId="0" shapeId="0" xr:uid="{A137C471-9830-49A0-A279-EF24E3B836DB}">
      <text>
        <r>
          <rPr>
            <b/>
            <sz val="9"/>
            <color indexed="81"/>
            <rFont val="Tahoma"/>
            <family val="2"/>
          </rPr>
          <t>Rajib Sinha:</t>
        </r>
        <r>
          <rPr>
            <sz val="9"/>
            <color indexed="81"/>
            <rFont val="Tahoma"/>
            <family val="2"/>
          </rPr>
          <t xml:space="preserve">
Ideally, the slope should be constant for about 10 pipe diameters upstream.  The program only accepts slopes up to 5% (since Manning's equation does not produce good results above that slope). 
</t>
        </r>
      </text>
    </comment>
    <comment ref="B10" authorId="0" shapeId="0" xr:uid="{D8D95A93-47C2-49E1-93E8-84838378594D}">
      <text>
        <r>
          <rPr>
            <b/>
            <sz val="9"/>
            <color indexed="81"/>
            <rFont val="Tahoma"/>
            <family val="2"/>
          </rPr>
          <t>Rajib Sinha:</t>
        </r>
        <r>
          <rPr>
            <sz val="9"/>
            <color indexed="81"/>
            <rFont val="Tahoma"/>
            <family val="2"/>
          </rPr>
          <t xml:space="preserve">
Usually between 0.0009 to 0.05.  Should be adjusted for the condition of the pipe.  For concrete pipe, use 0.011 as the initial parameter but this parameter is a function of the flow height so increase the number for pipes flowing more than a quarter full.  The roughness factor is not used in this spreadsheet.</t>
        </r>
      </text>
    </comment>
    <comment ref="A14" authorId="0" shapeId="0" xr:uid="{1AB5E3DE-64D0-427D-A551-44CB3DEF29C7}">
      <text>
        <r>
          <rPr>
            <b/>
            <sz val="9"/>
            <color indexed="81"/>
            <rFont val="Tahoma"/>
            <family val="2"/>
          </rPr>
          <t>Rajib Sinha:</t>
        </r>
        <r>
          <rPr>
            <sz val="9"/>
            <color indexed="81"/>
            <rFont val="Tahoma"/>
            <family val="2"/>
          </rPr>
          <t xml:space="preserve">
This is the diameter of the bottom low-flow channel.
</t>
        </r>
      </text>
    </comment>
    <comment ref="A17" authorId="0" shapeId="0" xr:uid="{8A82B514-89D1-48F2-989C-156B21CA5646}">
      <text>
        <r>
          <rPr>
            <b/>
            <sz val="9"/>
            <color indexed="81"/>
            <rFont val="Tahoma"/>
            <family val="2"/>
          </rPr>
          <t>Rajib Sinha:</t>
        </r>
        <r>
          <rPr>
            <sz val="9"/>
            <color indexed="81"/>
            <rFont val="Tahoma"/>
            <family val="2"/>
          </rPr>
          <t xml:space="preserve">
The flap gate should be mounted on a flat-black seat with a seating face machined at an angle of 5 degrees or more from the vertical. This allows the gate to have a horizontal face component to completely seat the gate by gravity. 
If the gate is not mounted at an angle, enter "0" in this cell.</t>
        </r>
      </text>
    </comment>
    <comment ref="A18" authorId="0" shapeId="0" xr:uid="{AA26D3D1-A3BE-4D46-ADDD-40A747973CD9}">
      <text>
        <r>
          <rPr>
            <b/>
            <sz val="9"/>
            <color indexed="81"/>
            <rFont val="Tahoma"/>
            <family val="2"/>
          </rPr>
          <t>Rajib Sinha:</t>
        </r>
        <r>
          <rPr>
            <sz val="9"/>
            <color indexed="81"/>
            <rFont val="Tahoma"/>
            <family val="2"/>
          </rPr>
          <t xml:space="preserve">
This parameter is the location of the weight from the hinge.  The current model does not include this parameter and the weight has been assumed to be located at the center of moment for the gate.</t>
        </r>
      </text>
    </comment>
    <comment ref="A19" authorId="0" shapeId="0" xr:uid="{918CE5EF-87B4-44D4-803E-7ABF3E293752}">
      <text>
        <r>
          <rPr>
            <b/>
            <sz val="9"/>
            <color indexed="81"/>
            <rFont val="Tahoma"/>
            <family val="2"/>
          </rPr>
          <t>Rajib Sinha:</t>
        </r>
        <r>
          <rPr>
            <sz val="9"/>
            <color indexed="81"/>
            <rFont val="Tahoma"/>
            <family val="2"/>
          </rPr>
          <t xml:space="preserve">
This is the diameter of the upper overflow channel.</t>
        </r>
      </text>
    </comment>
    <comment ref="A20" authorId="0" shapeId="0" xr:uid="{26B6D59A-8D6D-40AE-9A91-E3E7711539E0}">
      <text>
        <r>
          <rPr>
            <b/>
            <sz val="9"/>
            <color indexed="81"/>
            <rFont val="Tahoma"/>
            <family val="2"/>
          </rPr>
          <t>Rajib Sinha:</t>
        </r>
        <r>
          <rPr>
            <sz val="9"/>
            <color indexed="81"/>
            <rFont val="Tahoma"/>
            <family val="2"/>
          </rPr>
          <t xml:space="preserve">
This is the height of the overflow orifice from above the bottom of the channel.</t>
        </r>
      </text>
    </comment>
    <comment ref="A21" authorId="0" shapeId="0" xr:uid="{075A2ADA-733C-49DD-AFBB-B577BA317D54}">
      <text>
        <r>
          <rPr>
            <b/>
            <sz val="9"/>
            <color indexed="81"/>
            <rFont val="Tahoma"/>
            <family val="2"/>
          </rPr>
          <t>Rajib Sinha:</t>
        </r>
        <r>
          <rPr>
            <sz val="9"/>
            <color indexed="81"/>
            <rFont val="Tahoma"/>
            <family val="2"/>
          </rPr>
          <t xml:space="preserve">
The discharge coefficient is a dimensionless number used to characterize the flow and pressure loss behavior of nozzles and orifices in fluid systems.  Use 0.7 as the initial parameter.
</t>
        </r>
      </text>
    </comment>
    <comment ref="A40" authorId="0" shapeId="0" xr:uid="{31B0ED0F-C45F-4476-95CA-A373352FC7A1}">
      <text>
        <r>
          <rPr>
            <b/>
            <sz val="9"/>
            <color indexed="81"/>
            <rFont val="Tahoma"/>
            <family val="2"/>
          </rPr>
          <t>Rajib Sinha:</t>
        </r>
        <r>
          <rPr>
            <sz val="9"/>
            <color indexed="81"/>
            <rFont val="Tahoma"/>
            <family val="2"/>
          </rPr>
          <t xml:space="preserve">
If the gate is closed, this is the static head on the gate. Otherwise, it's the equivalent force on the center of moment of the gate.
</t>
        </r>
      </text>
    </comment>
    <comment ref="A43" authorId="0" shapeId="0" xr:uid="{C26F4684-4AB9-42BE-A224-19213726024A}">
      <text>
        <r>
          <rPr>
            <b/>
            <sz val="9"/>
            <color indexed="81"/>
            <rFont val="Tahoma"/>
            <family val="2"/>
          </rPr>
          <t>Rajib Sinha:</t>
        </r>
        <r>
          <rPr>
            <sz val="9"/>
            <color indexed="81"/>
            <rFont val="Tahoma"/>
            <family val="2"/>
          </rPr>
          <t xml:space="preserve">
This is the force that a spring or a magnet would have to exert on the gate to keep it closed.</t>
        </r>
      </text>
    </comment>
    <comment ref="A45" authorId="0" shapeId="0" xr:uid="{A40431FA-BD63-48D8-83AA-4B81B88F6CCD}">
      <text>
        <r>
          <rPr>
            <b/>
            <sz val="9"/>
            <color indexed="81"/>
            <rFont val="Tahoma"/>
            <family val="2"/>
          </rPr>
          <t>Rajib Sinha:</t>
        </r>
        <r>
          <rPr>
            <sz val="9"/>
            <color indexed="81"/>
            <rFont val="Tahoma"/>
            <family val="2"/>
          </rPr>
          <t xml:space="preserve">
"Fully Open" represents a 90 degree opening from the vertical.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Rajib Sinha</author>
  </authors>
  <commentList>
    <comment ref="A6" authorId="0" shapeId="0" xr:uid="{ECEBA137-E79A-4F0E-BEFE-D089F15F97A0}">
      <text>
        <r>
          <rPr>
            <b/>
            <sz val="9"/>
            <color indexed="81"/>
            <rFont val="Tahoma"/>
            <family val="2"/>
          </rPr>
          <t>Rajib Sinha:</t>
        </r>
        <r>
          <rPr>
            <sz val="9"/>
            <color indexed="81"/>
            <rFont val="Tahoma"/>
            <family val="2"/>
          </rPr>
          <t xml:space="preserve">
This is the maximum height of water before flooding occurs elsewhere in the system.  Limited to 20 feet in this model.</t>
        </r>
      </text>
    </comment>
    <comment ref="A7" authorId="0" shapeId="0" xr:uid="{A7D937B9-349E-4F1B-A452-3A3D0B43C76C}">
      <text>
        <r>
          <rPr>
            <b/>
            <sz val="9"/>
            <color indexed="81"/>
            <rFont val="Tahoma"/>
            <family val="2"/>
          </rPr>
          <t>Rajib Sinha:</t>
        </r>
        <r>
          <rPr>
            <sz val="9"/>
            <color indexed="81"/>
            <rFont val="Tahoma"/>
            <family val="2"/>
          </rPr>
          <t xml:space="preserve">
  The height of the water can be greater than the channel diameter up to 20 feet total.</t>
        </r>
      </text>
    </comment>
    <comment ref="A8" authorId="0" shapeId="0" xr:uid="{ECBE36A4-0E04-4585-8A19-C47164B55ADD}">
      <text>
        <r>
          <rPr>
            <b/>
            <sz val="9"/>
            <color indexed="81"/>
            <rFont val="Tahoma"/>
            <family val="2"/>
          </rPr>
          <t>Rajib Sinha:</t>
        </r>
        <r>
          <rPr>
            <sz val="9"/>
            <color indexed="81"/>
            <rFont val="Tahoma"/>
            <family val="2"/>
          </rPr>
          <t xml:space="preserve">
Ideally, the slope should be constant for about 10 pipe diameters upstream.  The program only accepts slopes up to 5% (since Mannings equation does not produce good results above that slope).</t>
        </r>
      </text>
    </comment>
    <comment ref="A10" authorId="0" shapeId="0" xr:uid="{43B7485D-4987-4258-91FE-73D97287FE14}">
      <text>
        <r>
          <rPr>
            <b/>
            <sz val="9"/>
            <color indexed="81"/>
            <rFont val="Tahoma"/>
            <family val="2"/>
          </rPr>
          <t>Rajib Sinha:</t>
        </r>
        <r>
          <rPr>
            <sz val="9"/>
            <color indexed="81"/>
            <rFont val="Tahoma"/>
            <family val="2"/>
          </rPr>
          <t xml:space="preserve">
Usually between 0.0009 to 0.05.  Should be adjusted for the condition of the pipe.  For concrete pipe, use 0.011 as the initial parameter.</t>
        </r>
      </text>
    </comment>
    <comment ref="A13" authorId="0" shapeId="0" xr:uid="{F4D19A4F-65D1-4ED8-881E-1710447193A3}">
      <text>
        <r>
          <rPr>
            <b/>
            <sz val="9"/>
            <color indexed="81"/>
            <rFont val="Tahoma"/>
            <family val="2"/>
          </rPr>
          <t>Rajib Sinha:</t>
        </r>
        <r>
          <rPr>
            <sz val="9"/>
            <color indexed="81"/>
            <rFont val="Tahoma"/>
            <family val="2"/>
          </rPr>
          <t xml:space="preserve">
This parameter assumes a segment of the gate is removed to allow water to flow under low-flow conditions. Enter "0" if there is no opening.  Must be less than hald the pipe diameter.
If you have a circular opening (e.g., a pipe in the flap gate), change this parameter until you get an "equivalent diameter" to match the diameter of the circular opening.
The circular opening must be at the bottom of the flap gate.</t>
        </r>
      </text>
    </comment>
    <comment ref="A16" authorId="0" shapeId="0" xr:uid="{DAF43DE7-CA25-4BBD-9C93-18F6BC2631E1}">
      <text>
        <r>
          <rPr>
            <b/>
            <sz val="9"/>
            <color indexed="81"/>
            <rFont val="Tahoma"/>
            <family val="2"/>
          </rPr>
          <t>Rajib Sinha:</t>
        </r>
        <r>
          <rPr>
            <sz val="9"/>
            <color indexed="81"/>
            <rFont val="Tahoma"/>
            <family val="2"/>
          </rPr>
          <t xml:space="preserve">
The flap gate should be mounted on a flat-black seat with a seating face machined at an angle of 5 degrees or more from the vertical. This allows the gate to have a horizontal face component to completely seat the gate by gravity. 
If the gate is not mounted at an angle, enter "0" in this cell.</t>
        </r>
      </text>
    </comment>
    <comment ref="A17" authorId="0" shapeId="0" xr:uid="{9FEBB09E-88ED-4A3A-BA6D-A288B73E1907}">
      <text>
        <r>
          <rPr>
            <b/>
            <sz val="9"/>
            <color indexed="81"/>
            <rFont val="Tahoma"/>
            <family val="2"/>
          </rPr>
          <t>Rajib Sinha:</t>
        </r>
        <r>
          <rPr>
            <sz val="9"/>
            <color indexed="81"/>
            <rFont val="Tahoma"/>
            <family val="2"/>
          </rPr>
          <t xml:space="preserve">
This parameter is the location of the weight from the hinge.  The current model does not include this parameter and the weight has been assumed to be located at the center of moment for the gate.</t>
        </r>
      </text>
    </comment>
    <comment ref="A19" authorId="0" shapeId="0" xr:uid="{15B6F320-4695-4455-95D5-A419BD668890}">
      <text>
        <r>
          <rPr>
            <b/>
            <sz val="9"/>
            <color indexed="81"/>
            <rFont val="Tahoma"/>
            <family val="2"/>
          </rPr>
          <t>Rajib Sinha:</t>
        </r>
        <r>
          <rPr>
            <sz val="9"/>
            <color indexed="81"/>
            <rFont val="Tahoma"/>
            <family val="2"/>
          </rPr>
          <t xml:space="preserve">
The discharge coefficient is a dimensionless number used to characterize the flow and pressure loss behaviour of nozzles and orifices in fluid systems.  Use 0.7 as the intial parameter.  Must be less than 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Rajib Sinha</author>
  </authors>
  <commentList>
    <comment ref="B4" authorId="0" shapeId="0" xr:uid="{D726B237-4C7D-4DA5-9BF5-4345EAE82B06}">
      <text>
        <r>
          <rPr>
            <b/>
            <sz val="9"/>
            <color indexed="81"/>
            <rFont val="Tahoma"/>
            <family val="2"/>
          </rPr>
          <t>Rajib Sinha:</t>
        </r>
        <r>
          <rPr>
            <sz val="9"/>
            <color indexed="81"/>
            <rFont val="Tahoma"/>
            <family val="2"/>
          </rPr>
          <t xml:space="preserve">
Enter the sewer diameter for reference. This value is not used in the calculations in this spreadsheet.</t>
        </r>
      </text>
    </comment>
    <comment ref="B7" authorId="0" shapeId="0" xr:uid="{FAD3136C-B404-4D6B-87B4-A801E109CA0A}">
      <text>
        <r>
          <rPr>
            <b/>
            <sz val="9"/>
            <color indexed="81"/>
            <rFont val="Tahoma"/>
            <family val="2"/>
          </rPr>
          <t>Rajib Sinha:</t>
        </r>
        <r>
          <rPr>
            <sz val="9"/>
            <color indexed="81"/>
            <rFont val="Tahoma"/>
            <family val="2"/>
          </rPr>
          <t xml:space="preserve">
  The height of the water can be greater than the channel diameter up to 20 feet total.</t>
        </r>
      </text>
    </comment>
    <comment ref="B8" authorId="0" shapeId="0" xr:uid="{A236AD79-1715-485A-9B1F-78B7885862E0}">
      <text>
        <r>
          <rPr>
            <b/>
            <sz val="9"/>
            <color indexed="81"/>
            <rFont val="Tahoma"/>
            <family val="2"/>
          </rPr>
          <t>Rajib Sinha:</t>
        </r>
        <r>
          <rPr>
            <sz val="9"/>
            <color indexed="81"/>
            <rFont val="Tahoma"/>
            <family val="2"/>
          </rPr>
          <t xml:space="preserve">
Ideally, the slope should be constant for about 10 pipe diameters upstream.  The program only accepts slopes up to 5% (since Manning's equation does not produce good results above that slope). 
</t>
        </r>
      </text>
    </comment>
    <comment ref="B10" authorId="0" shapeId="0" xr:uid="{A58289F2-5834-4A2E-BF97-A9F1C3B4D0CA}">
      <text>
        <r>
          <rPr>
            <b/>
            <sz val="9"/>
            <color indexed="81"/>
            <rFont val="Tahoma"/>
            <family val="2"/>
          </rPr>
          <t>Rajib Sinha:</t>
        </r>
        <r>
          <rPr>
            <sz val="9"/>
            <color indexed="81"/>
            <rFont val="Tahoma"/>
            <family val="2"/>
          </rPr>
          <t xml:space="preserve">
Usually between 0.0009 to 0.05.  Should be adjusted for the condition of the pipe.  For concrete pipe, use 0.011 as the initial parameter but this parameter is a function of the flow height so increase the number for pipes flowing more than a quarter full.  The roughness factor is not used in this spreadsheet.</t>
        </r>
      </text>
    </comment>
    <comment ref="A14" authorId="0" shapeId="0" xr:uid="{4E978DD9-01B4-4859-A0EE-C8C65B25F403}">
      <text>
        <r>
          <rPr>
            <b/>
            <sz val="9"/>
            <color indexed="81"/>
            <rFont val="Tahoma"/>
            <family val="2"/>
          </rPr>
          <t>Rajib Sinha:</t>
        </r>
        <r>
          <rPr>
            <sz val="9"/>
            <color indexed="81"/>
            <rFont val="Tahoma"/>
            <family val="2"/>
          </rPr>
          <t xml:space="preserve">
This is the diameter of the bottom low-flow channel.
</t>
        </r>
      </text>
    </comment>
    <comment ref="A17" authorId="0" shapeId="0" xr:uid="{A01D7E3E-2A6C-46D3-A37E-C3289B8D475F}">
      <text>
        <r>
          <rPr>
            <b/>
            <sz val="9"/>
            <color indexed="81"/>
            <rFont val="Tahoma"/>
            <family val="2"/>
          </rPr>
          <t>Rajib Sinha:</t>
        </r>
        <r>
          <rPr>
            <sz val="9"/>
            <color indexed="81"/>
            <rFont val="Tahoma"/>
            <family val="2"/>
          </rPr>
          <t xml:space="preserve">
The flap gate should be mounted on a flat-black seat with a seating face machined at an angle of 5 degrees or more from the vertical. This allows the gate to have a horizontal face component to completely seat the gate by gravity. 
If the gate is not mounted at an angle, enter "0" in this cell.</t>
        </r>
      </text>
    </comment>
    <comment ref="A18" authorId="0" shapeId="0" xr:uid="{366BCC1D-7F23-459F-BBC7-0CDB3CA135DB}">
      <text>
        <r>
          <rPr>
            <b/>
            <sz val="9"/>
            <color indexed="81"/>
            <rFont val="Tahoma"/>
            <family val="2"/>
          </rPr>
          <t>Rajib Sinha:</t>
        </r>
        <r>
          <rPr>
            <sz val="9"/>
            <color indexed="81"/>
            <rFont val="Tahoma"/>
            <family val="2"/>
          </rPr>
          <t xml:space="preserve">
This parameter is the location of the weight from the hinge.  The current model does not include this parameter and the weight has been assumed to be located at the center of moment for the gate.</t>
        </r>
      </text>
    </comment>
    <comment ref="A19" authorId="0" shapeId="0" xr:uid="{A0572FDE-9453-45CE-B482-DD577D205EC9}">
      <text>
        <r>
          <rPr>
            <b/>
            <sz val="9"/>
            <color indexed="81"/>
            <rFont val="Tahoma"/>
            <family val="2"/>
          </rPr>
          <t>Rajib Sinha:</t>
        </r>
        <r>
          <rPr>
            <sz val="9"/>
            <color indexed="81"/>
            <rFont val="Tahoma"/>
            <family val="2"/>
          </rPr>
          <t xml:space="preserve">
This is the diameter of the upper overflow channel.</t>
        </r>
      </text>
    </comment>
    <comment ref="A20" authorId="0" shapeId="0" xr:uid="{59ACCBA9-2529-40F2-A82E-B50B906E8BC0}">
      <text>
        <r>
          <rPr>
            <b/>
            <sz val="9"/>
            <color indexed="81"/>
            <rFont val="Tahoma"/>
            <family val="2"/>
          </rPr>
          <t>Rajib Sinha:</t>
        </r>
        <r>
          <rPr>
            <sz val="9"/>
            <color indexed="81"/>
            <rFont val="Tahoma"/>
            <family val="2"/>
          </rPr>
          <t xml:space="preserve">
This is the height of the overflow orifice from above the bottom of the channel.</t>
        </r>
      </text>
    </comment>
    <comment ref="A21" authorId="0" shapeId="0" xr:uid="{1C5D587E-076C-42C1-98A0-C174665E6BAC}">
      <text>
        <r>
          <rPr>
            <b/>
            <sz val="9"/>
            <color indexed="81"/>
            <rFont val="Tahoma"/>
            <family val="2"/>
          </rPr>
          <t>Rajib Sinha:</t>
        </r>
        <r>
          <rPr>
            <sz val="9"/>
            <color indexed="81"/>
            <rFont val="Tahoma"/>
            <family val="2"/>
          </rPr>
          <t xml:space="preserve">
The discharge coefficient is a dimensionless number used to characterize the flow and pressure loss behavior of nozzles and orifices in fluid systems.  Use 0.7 as the initial parameter.
</t>
        </r>
      </text>
    </comment>
    <comment ref="A42" authorId="0" shapeId="0" xr:uid="{3DD76CEC-A27A-460C-BACF-548322450842}">
      <text>
        <r>
          <rPr>
            <b/>
            <sz val="9"/>
            <color indexed="81"/>
            <rFont val="Tahoma"/>
            <family val="2"/>
          </rPr>
          <t>Rajib Sinha:</t>
        </r>
        <r>
          <rPr>
            <sz val="9"/>
            <color indexed="81"/>
            <rFont val="Tahoma"/>
            <family val="2"/>
          </rPr>
          <t xml:space="preserve">
If the gate is closed, this is the static head on the gate. Otherwise, it's the equivalent force on the center of moment of the gate.
</t>
        </r>
      </text>
    </comment>
    <comment ref="A45" authorId="0" shapeId="0" xr:uid="{FDF07F5C-6244-4726-AB04-2B6A5980169A}">
      <text>
        <r>
          <rPr>
            <b/>
            <sz val="9"/>
            <color indexed="81"/>
            <rFont val="Tahoma"/>
            <family val="2"/>
          </rPr>
          <t>Rajib Sinha:</t>
        </r>
        <r>
          <rPr>
            <sz val="9"/>
            <color indexed="81"/>
            <rFont val="Tahoma"/>
            <family val="2"/>
          </rPr>
          <t xml:space="preserve">
This is the force that a spring or a magnet would have to exert on the gate to keep it closed.</t>
        </r>
      </text>
    </comment>
    <comment ref="A47" authorId="0" shapeId="0" xr:uid="{0B2FD174-00F9-4FD3-B513-C3B4D83D6D33}">
      <text>
        <r>
          <rPr>
            <b/>
            <sz val="9"/>
            <color indexed="81"/>
            <rFont val="Tahoma"/>
            <family val="2"/>
          </rPr>
          <t>Rajib Sinha:</t>
        </r>
        <r>
          <rPr>
            <sz val="9"/>
            <color indexed="81"/>
            <rFont val="Tahoma"/>
            <family val="2"/>
          </rPr>
          <t xml:space="preserve">
"Fully Open" represents a 90 degree opening from the vertical.</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<sst xmlns="http://schemas.openxmlformats.org/spreadsheetml/2006/main" count="1907" uniqueCount="281">
  <si>
    <t>Input</t>
  </si>
  <si>
    <t>Shape</t>
  </si>
  <si>
    <t>Circular</t>
  </si>
  <si>
    <t>Channel Diameter (D)</t>
  </si>
  <si>
    <t>inches</t>
  </si>
  <si>
    <t>feet</t>
  </si>
  <si>
    <t>Total Height of water (H)</t>
  </si>
  <si>
    <t>lbs</t>
  </si>
  <si>
    <t>Additional Weight</t>
  </si>
  <si>
    <t>degrees</t>
  </si>
  <si>
    <t>Location of Weight (L)</t>
  </si>
  <si>
    <t>feet from hinge</t>
  </si>
  <si>
    <t>Bottom Opening (G)</t>
  </si>
  <si>
    <t>Conversions</t>
  </si>
  <si>
    <t>Additional Weight (W)</t>
  </si>
  <si>
    <t>Weight of Gate (w)</t>
  </si>
  <si>
    <t>n</t>
  </si>
  <si>
    <t>Diameter</t>
  </si>
  <si>
    <t>D</t>
  </si>
  <si>
    <t>radian</t>
  </si>
  <si>
    <t>Radius</t>
  </si>
  <si>
    <t>R</t>
  </si>
  <si>
    <t>depth of water</t>
  </si>
  <si>
    <t>d</t>
  </si>
  <si>
    <t>r</t>
  </si>
  <si>
    <t>circular segment height</t>
  </si>
  <si>
    <t>h</t>
  </si>
  <si>
    <t>central angle</t>
  </si>
  <si>
    <t>a</t>
  </si>
  <si>
    <t>radians</t>
  </si>
  <si>
    <t>circular segment area</t>
  </si>
  <si>
    <t>K</t>
  </si>
  <si>
    <t>ft^2</t>
  </si>
  <si>
    <t>A</t>
  </si>
  <si>
    <t>in 2</t>
  </si>
  <si>
    <t>arc length</t>
  </si>
  <si>
    <t>s</t>
  </si>
  <si>
    <t>ft</t>
  </si>
  <si>
    <t>flow area</t>
  </si>
  <si>
    <t>wetted perimeter</t>
  </si>
  <si>
    <t>Pw</t>
  </si>
  <si>
    <t>height of water</t>
  </si>
  <si>
    <t>hydraulic radius</t>
  </si>
  <si>
    <r>
      <t>R</t>
    </r>
    <r>
      <rPr>
        <vertAlign val="subscript"/>
        <sz val="11"/>
        <color theme="1"/>
        <rFont val="Calibri"/>
        <family val="2"/>
        <scheme val="minor"/>
      </rPr>
      <t>h</t>
    </r>
  </si>
  <si>
    <t>Isosceles Triangle</t>
  </si>
  <si>
    <t>Weight</t>
  </si>
  <si>
    <t>A=B</t>
  </si>
  <si>
    <t xml:space="preserve">Opening </t>
  </si>
  <si>
    <t>vertical height</t>
  </si>
  <si>
    <t>Slope</t>
  </si>
  <si>
    <t>percent</t>
  </si>
  <si>
    <t>ft/ft</t>
  </si>
  <si>
    <t>Mannings coefficient</t>
  </si>
  <si>
    <t>Flow Rate</t>
  </si>
  <si>
    <t>Q</t>
  </si>
  <si>
    <t>cfs</t>
  </si>
  <si>
    <t>gpm</t>
  </si>
  <si>
    <t>Velocity</t>
  </si>
  <si>
    <t>V</t>
  </si>
  <si>
    <t>ft/sec</t>
  </si>
  <si>
    <t>Pipe Slope (s)</t>
  </si>
  <si>
    <t>Mannings Coefficient (n)</t>
  </si>
  <si>
    <t>Output</t>
  </si>
  <si>
    <t>H</t>
  </si>
  <si>
    <t>G</t>
  </si>
  <si>
    <t>w</t>
  </si>
  <si>
    <t>W</t>
  </si>
  <si>
    <t>q</t>
  </si>
  <si>
    <t>L</t>
  </si>
  <si>
    <t>Force Required to Keep Gate Shut</t>
  </si>
  <si>
    <t>Angle of gate</t>
  </si>
  <si>
    <t>Weight of gate</t>
  </si>
  <si>
    <t>Height of Water</t>
  </si>
  <si>
    <t>Wetted Area</t>
  </si>
  <si>
    <t>Force on gate</t>
  </si>
  <si>
    <t>Density</t>
  </si>
  <si>
    <t>lb/ft^3</t>
  </si>
  <si>
    <t>lb/gal</t>
  </si>
  <si>
    <t>Constants</t>
  </si>
  <si>
    <t>Density of Water</t>
  </si>
  <si>
    <t>g</t>
  </si>
  <si>
    <t>ft/sec^2</t>
  </si>
  <si>
    <t>ft-lb/sec^2</t>
  </si>
  <si>
    <t>Down force</t>
  </si>
  <si>
    <t>Water Force on gate</t>
  </si>
  <si>
    <t>Gate is</t>
  </si>
  <si>
    <t>Segment Area Open at Bottom</t>
  </si>
  <si>
    <t>Central angle</t>
  </si>
  <si>
    <t>Segment Height</t>
  </si>
  <si>
    <t>Wetted Area with Opening</t>
  </si>
  <si>
    <t>Additional Pull Force Required</t>
  </si>
  <si>
    <t>G&lt;R</t>
  </si>
  <si>
    <t>Center of Pressure</t>
  </si>
  <si>
    <t>With Gate</t>
  </si>
  <si>
    <t>Gate Status</t>
  </si>
  <si>
    <t>segment height</t>
  </si>
  <si>
    <t>Flow Rate when water is below opening</t>
  </si>
  <si>
    <t>Flow Rate when water is above opening</t>
  </si>
  <si>
    <t>Gravity</t>
  </si>
  <si>
    <t>ft^3/sec</t>
  </si>
  <si>
    <t>Assumed a discharge coefficient=</t>
  </si>
  <si>
    <t>V=Cd*A*(2gH)^1/2</t>
  </si>
  <si>
    <t>Flow Velocity</t>
  </si>
  <si>
    <r>
      <t xml:space="preserve">Sin </t>
    </r>
    <r>
      <rPr>
        <sz val="11"/>
        <color theme="1"/>
        <rFont val="Symbol"/>
        <family val="1"/>
        <charset val="2"/>
      </rPr>
      <t>q</t>
    </r>
  </si>
  <si>
    <t>Hydrostatic Force Moment</t>
  </si>
  <si>
    <t>Weight Moment</t>
  </si>
  <si>
    <t>Diameter of Gate</t>
  </si>
  <si>
    <t>Angle of Opening</t>
  </si>
  <si>
    <t>Not used</t>
  </si>
  <si>
    <t>Given center angle</t>
  </si>
  <si>
    <t>Given Height of water</t>
  </si>
  <si>
    <t>Area</t>
  </si>
  <si>
    <t>Bottom Opening Area</t>
  </si>
  <si>
    <t>Cd</t>
  </si>
  <si>
    <t>Height</t>
  </si>
  <si>
    <t>Volume</t>
  </si>
  <si>
    <t>velocity</t>
  </si>
  <si>
    <t>mph</t>
  </si>
  <si>
    <t>&lt;5%</t>
  </si>
  <si>
    <t>Flow Area</t>
  </si>
  <si>
    <t>Bottom Opening Discharge Coeff</t>
  </si>
  <si>
    <t>Circular segment area</t>
  </si>
  <si>
    <t>This flow is open channel, Manning</t>
  </si>
  <si>
    <t>This flow is pressured open tank flow</t>
  </si>
  <si>
    <t>Depth of water</t>
  </si>
  <si>
    <t>Bottom opening</t>
  </si>
  <si>
    <t>Depth (ft)</t>
  </si>
  <si>
    <t>Data Table</t>
  </si>
  <si>
    <t>Depth of Water (inches)</t>
  </si>
  <si>
    <t>Flow (cfs)</t>
  </si>
  <si>
    <t>Velocity (fps)</t>
  </si>
  <si>
    <t>d (inches)</t>
  </si>
  <si>
    <t>When Water is over the channel diameter</t>
  </si>
  <si>
    <t>Check if over channel</t>
  </si>
  <si>
    <t>Channel Area</t>
  </si>
  <si>
    <t>Area of Channel</t>
  </si>
  <si>
    <t>if Gate is closed, channel area = bottom opening</t>
  </si>
  <si>
    <t>This program is currently only valid for circular channels.</t>
  </si>
  <si>
    <t>Enter the channel diameter</t>
  </si>
  <si>
    <t>The radius is automatically calculated</t>
  </si>
  <si>
    <t>Channel Parameters</t>
  </si>
  <si>
    <t>Enter the height of any opening cut into the gate.</t>
  </si>
  <si>
    <t>Enter the weight of the flap gate</t>
  </si>
  <si>
    <t>Flap Gate Parameters</t>
  </si>
  <si>
    <t>Enter any additional weight placed on the gate</t>
  </si>
  <si>
    <t>Enter the initial angle of the gate</t>
  </si>
  <si>
    <t>*Future* Enter the location of the weight from the hinge</t>
  </si>
  <si>
    <t>Enter the slope of the pipe</t>
  </si>
  <si>
    <r>
      <t xml:space="preserve">Enter the height of water from the </t>
    </r>
    <r>
      <rPr>
        <b/>
        <sz val="11"/>
        <color theme="1"/>
        <rFont val="Calibri"/>
        <family val="2"/>
        <scheme val="minor"/>
      </rPr>
      <t>bottom</t>
    </r>
    <r>
      <rPr>
        <sz val="11"/>
        <color theme="1"/>
        <rFont val="Calibri"/>
        <family val="2"/>
        <scheme val="minor"/>
      </rPr>
      <t xml:space="preserve"> of the channel.</t>
    </r>
  </si>
  <si>
    <t>Enter the Mannings Roughness Coefficent</t>
  </si>
  <si>
    <t>Total Flow Rate from the Pipe</t>
  </si>
  <si>
    <t>Equivalent Diameter as Circular Opening</t>
  </si>
  <si>
    <t>This is the force of water on the gate</t>
  </si>
  <si>
    <t>This is the angle of the gate opening</t>
  </si>
  <si>
    <t>Sluice Gate Opening</t>
  </si>
  <si>
    <t>Fully Open Pipe Area</t>
  </si>
  <si>
    <t>Half Pipe</t>
  </si>
  <si>
    <t>K=A</t>
  </si>
  <si>
    <t>theta - sin(theta)</t>
  </si>
  <si>
    <t>Pipe Radius</t>
  </si>
  <si>
    <t>cross-check</t>
  </si>
  <si>
    <t>rad</t>
  </si>
  <si>
    <t>Degrees</t>
  </si>
  <si>
    <t>Radian</t>
  </si>
  <si>
    <t>theta-sin(theta)</t>
  </si>
  <si>
    <t>theta</t>
  </si>
  <si>
    <t>deg</t>
  </si>
  <si>
    <t>sin theta</t>
  </si>
  <si>
    <t>Q=Cd*A*(2gH)^1/2</t>
  </si>
  <si>
    <t>Water Flow</t>
  </si>
  <si>
    <t>Pipe Diameter</t>
  </si>
  <si>
    <t>From Segment Area</t>
  </si>
  <si>
    <t>Equivalent height</t>
  </si>
  <si>
    <t>Reynolds Number</t>
  </si>
  <si>
    <t>Dynamic viscosity</t>
  </si>
  <si>
    <t>lb-s/ft^2</t>
  </si>
  <si>
    <t>Enter the Maxiumum Height of Water Expected</t>
  </si>
  <si>
    <t>H&lt;D</t>
  </si>
  <si>
    <r>
      <t>Initial Angle of Weight (</t>
    </r>
    <r>
      <rPr>
        <b/>
        <sz val="11"/>
        <color theme="1"/>
        <rFont val="Symbol"/>
        <family val="1"/>
        <charset val="2"/>
      </rPr>
      <t>q</t>
    </r>
    <r>
      <rPr>
        <b/>
        <sz val="11"/>
        <color theme="1"/>
        <rFont val="Calibri"/>
        <family val="2"/>
      </rPr>
      <t>)</t>
    </r>
  </si>
  <si>
    <t>Unprotect</t>
  </si>
  <si>
    <t>The output below shows the flow rate, velocity, gate open status, and angle of gate opening.  This data is also graphed in the charts on the associated sheets.</t>
  </si>
  <si>
    <t>Flow</t>
  </si>
  <si>
    <t>Gate Open</t>
  </si>
  <si>
    <t>(Down Force) - (Water Force)</t>
  </si>
  <si>
    <t>Lines on the graph</t>
  </si>
  <si>
    <t>X</t>
  </si>
  <si>
    <t>Y</t>
  </si>
  <si>
    <t>Gate Open Coords</t>
  </si>
  <si>
    <t>X = height of water</t>
  </si>
  <si>
    <t xml:space="preserve">Critical Flow </t>
  </si>
  <si>
    <t>Critical Velocity</t>
  </si>
  <si>
    <t>fps</t>
  </si>
  <si>
    <t>Maximum depth of water</t>
  </si>
  <si>
    <t>This program is currently only valid for circular pipes.</t>
  </si>
  <si>
    <t>Gate Open?</t>
  </si>
  <si>
    <t>Pipe Slope</t>
  </si>
  <si>
    <t>Bottom Opening</t>
  </si>
  <si>
    <t>Weight of Gate</t>
  </si>
  <si>
    <t>Initial Angle of gate</t>
  </si>
  <si>
    <t>Velocity of Water from the Pipe</t>
  </si>
  <si>
    <t>This force represents the additional force required to keep the gate closed</t>
  </si>
  <si>
    <t>This is the gravitational force on the gate.</t>
  </si>
  <si>
    <t>Optional Input</t>
  </si>
  <si>
    <t>The sheets labeled as "Data Table" are set up to calculate for all values of H.</t>
  </si>
  <si>
    <t>DRAFT</t>
  </si>
  <si>
    <t xml:space="preserve">Spreadsheet Model to Calculate Flow Patterns Associated with </t>
  </si>
  <si>
    <t>In-Pipe Storage of Stormwater and</t>
  </si>
  <si>
    <t>Acknowledgements</t>
  </si>
  <si>
    <t>Hamilton County Soil Conservation District – Adam Lehmann and John Nelson</t>
  </si>
  <si>
    <t>USEPA – James Goodrich, Ph.D and John Hall</t>
  </si>
  <si>
    <t xml:space="preserve">APTIM, LLC - Radha Krishan, Greg Meiners, Don Schupp, Sue Witt, Dave Elstun, John Brannon, and Gary Lubbers of APTIM Federal Services, LLC.  </t>
  </si>
  <si>
    <t>Due to funding limitations and project scope, this software has not been field-tested. Due to the complexity and diversity of the interactions between an application and its environment, many of these interactions cannot be predicted at testing time and there are so many cases to be tested that they cannot be all feasibly addressed before any software is released.  The user is urged to verify the application and the calculated results.</t>
  </si>
  <si>
    <t xml:space="preserve">The calculations in this spreadsheet are based on currently established science and the calculation methodology is presented in the the accompanying user manual.  </t>
  </si>
  <si>
    <t>Acceleration due to gravity</t>
  </si>
  <si>
    <t>Height of water</t>
  </si>
  <si>
    <t>Maximum Height of Water</t>
  </si>
  <si>
    <t>The maximum height to which water can be backed up above the pipe invert without causing flooding set in this program to 20 feet.</t>
  </si>
  <si>
    <t>Pipe Parameters (for the pipe immediately upstream of the flap gate retrofit)</t>
  </si>
  <si>
    <t>Enter the height of any opening cut into the gate (height above pipe invert).</t>
  </si>
  <si>
    <t>Dimensionless number for pressure loss in nozzles and orifices.</t>
  </si>
  <si>
    <t>Output (specific to input height of water)</t>
  </si>
  <si>
    <t>To add lines to the flow curves to show the estimated critical flow and critical velocity for this site:</t>
  </si>
  <si>
    <t>Output (data series table for full range of potential water heights)</t>
  </si>
  <si>
    <t>Area open to flow through the opening at the bottom of the gate</t>
  </si>
  <si>
    <t>Equivalent diameter as circular opening at the bottom of the gate</t>
  </si>
  <si>
    <t>Total Equivalent Flow Area (dependent upon angle of gate opening)</t>
  </si>
  <si>
    <t>Water Force on Gate</t>
  </si>
  <si>
    <t>Gate is "Open" or "Closed"</t>
  </si>
  <si>
    <t>Disclaimer</t>
  </si>
  <si>
    <t>Enter height to which water is backed-up above  the pipe invert (maximum height is 20 feet).</t>
  </si>
  <si>
    <t>Enter the Manning's Roughness Coefficient</t>
  </si>
  <si>
    <t>Manning's Coefficient</t>
  </si>
  <si>
    <t>Enter any additional weight placed on the gate or the total equivalent weight of the sum of forces applied via other mechanism.</t>
  </si>
  <si>
    <t>Area of Bottom Opening</t>
  </si>
  <si>
    <t>Down Force on Gate</t>
  </si>
  <si>
    <t>Status of Gate Opening</t>
  </si>
  <si>
    <t>Height of Water (inches)</t>
  </si>
  <si>
    <r>
      <t>The output below shows the flow rate, velocity, gate open status, and angle of gate opening for all values of "</t>
    </r>
    <r>
      <rPr>
        <b/>
        <sz val="11"/>
        <color theme="1"/>
        <rFont val="Calibri"/>
        <family val="2"/>
        <scheme val="minor"/>
      </rPr>
      <t>height of water</t>
    </r>
    <r>
      <rPr>
        <sz val="11"/>
        <color theme="1"/>
        <rFont val="Calibri"/>
        <family val="2"/>
        <scheme val="minor"/>
      </rPr>
      <t xml:space="preserve">" upto the </t>
    </r>
    <r>
      <rPr>
        <b/>
        <sz val="11"/>
        <color theme="1"/>
        <rFont val="Calibri"/>
        <family val="2"/>
        <scheme val="minor"/>
      </rPr>
      <t>maximum height of wate</t>
    </r>
    <r>
      <rPr>
        <sz val="11"/>
        <color theme="1"/>
        <rFont val="Calibri"/>
        <family val="2"/>
        <scheme val="minor"/>
      </rPr>
      <t>r (in one-inch increments).  This data is also graphed in the charts on the associated sheets.</t>
    </r>
  </si>
  <si>
    <t>Angle of Gate</t>
  </si>
  <si>
    <t>Height of water (ft)</t>
  </si>
  <si>
    <t>This program is currently only valid for low flow orifice pipes.</t>
  </si>
  <si>
    <t>Enter the pipe diameter</t>
  </si>
  <si>
    <t>Total Height of water</t>
  </si>
  <si>
    <t>Low Flow Orifice Parameters</t>
  </si>
  <si>
    <t>Low flow Orifice Diameter</t>
  </si>
  <si>
    <t>Enter the diameter of the low-flow orifice</t>
  </si>
  <si>
    <t>d&lt;D</t>
  </si>
  <si>
    <r>
      <t>Initial Angle of gate (</t>
    </r>
    <r>
      <rPr>
        <sz val="11"/>
        <color theme="1"/>
        <rFont val="Symbol"/>
        <family val="1"/>
        <charset val="2"/>
      </rPr>
      <t>q</t>
    </r>
    <r>
      <rPr>
        <sz val="11"/>
        <color theme="1"/>
        <rFont val="Calibri"/>
        <family val="2"/>
      </rPr>
      <t>)</t>
    </r>
  </si>
  <si>
    <t>Overflow Orifice Diameter</t>
  </si>
  <si>
    <t>Enter the diameter of the over-flow orifice</t>
  </si>
  <si>
    <t>do</t>
  </si>
  <si>
    <t>Height of Overflow Orifice</t>
  </si>
  <si>
    <t>Enter the height of the overflow orifice above the invert of the pipe</t>
  </si>
  <si>
    <t>Flow Rate from Lower Orifice</t>
  </si>
  <si>
    <t>Velocity of Water from the Lower Orifice</t>
  </si>
  <si>
    <t>Velocity from Lower Orifice</t>
  </si>
  <si>
    <t>Flow Rate from Overflow Orifice</t>
  </si>
  <si>
    <t>Total Equivalent Flow Area</t>
  </si>
  <si>
    <t>Equivalent height of "Sluice Gate"</t>
  </si>
  <si>
    <t>Equivalent Open pipe of "Sluice Gate"*</t>
  </si>
  <si>
    <t>This is the gravitational force of the gate to keep it closed.</t>
  </si>
  <si>
    <t>Status of gate opening</t>
  </si>
  <si>
    <t>This force represents the additional force to keep the gate closed</t>
  </si>
  <si>
    <t>Total Flow Rate</t>
  </si>
  <si>
    <t>Segment Area Open upper orifice</t>
  </si>
  <si>
    <t>Following sheets perform the back-end calculations.</t>
  </si>
  <si>
    <t>Use "View" --&gt; "Custom Views" to quickly hide and unhide the sheets.</t>
  </si>
  <si>
    <r>
      <t>The output below shows the flow rate from the Lower and Upper orifice, velocity from the Lower Orifice and Total Flow Rate for all values of "</t>
    </r>
    <r>
      <rPr>
        <b/>
        <sz val="11"/>
        <color theme="1"/>
        <rFont val="Calibri"/>
        <family val="2"/>
        <scheme val="minor"/>
      </rPr>
      <t>height of water</t>
    </r>
    <r>
      <rPr>
        <sz val="11"/>
        <color theme="1"/>
        <rFont val="Calibri"/>
        <family val="2"/>
        <scheme val="minor"/>
      </rPr>
      <t xml:space="preserve">" (in one-inch increments) up to the </t>
    </r>
    <r>
      <rPr>
        <b/>
        <sz val="11"/>
        <color theme="1"/>
        <rFont val="Calibri"/>
        <family val="2"/>
        <scheme val="minor"/>
      </rPr>
      <t>maximum height of 144 inches (assumed to be two 6-foot culverts stacked)</t>
    </r>
    <r>
      <rPr>
        <sz val="11"/>
        <color theme="1"/>
        <rFont val="Calibri"/>
        <family val="2"/>
        <scheme val="minor"/>
      </rPr>
      <t>.</t>
    </r>
  </si>
  <si>
    <t>Height of water (inches)</t>
  </si>
  <si>
    <t>Flow Rate from Lower Orifice
(cfs)</t>
  </si>
  <si>
    <t>Velocity of Water from the Lower Orifice
(fps)</t>
  </si>
  <si>
    <t>Total Flow Rate
(cfs)</t>
  </si>
  <si>
    <r>
      <t xml:space="preserve">Enter the height of water from the </t>
    </r>
    <r>
      <rPr>
        <b/>
        <sz val="11"/>
        <color theme="2"/>
        <rFont val="Calibri"/>
        <family val="2"/>
        <scheme val="minor"/>
      </rPr>
      <t>bottom</t>
    </r>
    <r>
      <rPr>
        <sz val="11"/>
        <color theme="2"/>
        <rFont val="Calibri"/>
        <family val="2"/>
        <scheme val="minor"/>
      </rPr>
      <t xml:space="preserve"> of the channel.</t>
    </r>
  </si>
  <si>
    <t xml:space="preserve">Flap Gate and Riser Flow Control Structure for </t>
  </si>
  <si>
    <t>to Reduce the Frequency of Critical Flow in Small Streams</t>
  </si>
  <si>
    <t>Version 10, Revision 2</t>
  </si>
  <si>
    <t>Pipe Parameters (for the pipe immediately upstream of the riser retrofit)</t>
  </si>
  <si>
    <t>This program is currently only valid for orifice pipes.</t>
  </si>
  <si>
    <t>Sum of Flow Rates from the Lower Orifice and the Overflow Orifice</t>
  </si>
  <si>
    <t>Flow Rate from Overflow Orifice
(cfs)</t>
  </si>
  <si>
    <r>
      <t>The output below shows the flow rate from the Lower and Overflow orifice, velocity from the Lower Orifice and Total Flow Rate for all values of "</t>
    </r>
    <r>
      <rPr>
        <b/>
        <sz val="11"/>
        <color theme="1"/>
        <rFont val="Calibri"/>
        <family val="2"/>
        <scheme val="minor"/>
      </rPr>
      <t>height of water</t>
    </r>
    <r>
      <rPr>
        <sz val="11"/>
        <color theme="1"/>
        <rFont val="Calibri"/>
        <family val="2"/>
        <scheme val="minor"/>
      </rPr>
      <t xml:space="preserve">" (in one-inch increments) upto the </t>
    </r>
    <r>
      <rPr>
        <b/>
        <sz val="11"/>
        <color theme="1"/>
        <rFont val="Calibri"/>
        <family val="2"/>
        <scheme val="minor"/>
      </rPr>
      <t>maximum height of 144 inches (assumed to be two 6-foot culverts stacked)</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</si>
</sst>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00_);_(* \(#,##0.0000\);_(* &quot;-&quot;??_);_(@_)"/>
    <numFmt numFmtId="165" formatCode="0.000"/>
    <numFmt numFmtId="166" formatCode="_(* #,##0_);_(* \(#,##0\);_(* &quot;-&quot;??_);_(@_)"/>
    <numFmt numFmtId="167" formatCode="0.0000"/>
    <numFmt numFmtId="168" formatCode="0.000000"/>
    <numFmt numFmtId="169" formatCode="#,##0.0000"/>
    <numFmt numFmtId="170" formatCode="0.000%"/>
    <numFmt numFmtId="171" formatCode="[$-409]mmmm\ d\,\ yyyy;@"/>
    <numFmt numFmtId="172" formatCode="_(* #,##0.0_);_(* \(#,##0.0\);_(* &quot;-&quot;??_);_(@_)"/>
  </numFmts>
  <fonts count="27">
    <font>
      <sz val="11"/>
      <color theme="1"/>
      <name val="Calibri"/>
      <family val="2"/>
      <scheme val="minor"/>
    </font>
    <font>
      <sz val="11"/>
      <color theme="1"/>
      <name val="Calibri"/>
      <family val="2"/>
      <scheme val="minor"/>
    </font>
    <font>
      <b/>
      <sz val="11"/>
      <color theme="1"/>
      <name val="Calibri"/>
      <family val="2"/>
      <scheme val="minor"/>
    </font>
    <font>
      <b/>
      <u/>
      <sz val="16"/>
      <color theme="1"/>
      <name val="Calibri"/>
      <family val="2"/>
      <scheme val="minor"/>
    </font>
    <font>
      <b/>
      <i/>
      <sz val="16"/>
      <color theme="1"/>
      <name val="Calibri"/>
      <family val="2"/>
      <scheme val="minor"/>
    </font>
    <font>
      <b/>
      <sz val="11"/>
      <color theme="1"/>
      <name val="Symbol"/>
      <family val="1"/>
      <charset val="2"/>
    </font>
    <font>
      <b/>
      <sz val="11"/>
      <color theme="1"/>
      <name val="Calibri"/>
      <family val="2"/>
    </font>
    <font>
      <sz val="11"/>
      <color theme="1"/>
      <name val="Symbol"/>
      <family val="1"/>
      <charset val="2"/>
    </font>
    <font>
      <vertAlign val="subscript"/>
      <sz val="11"/>
      <color theme="1"/>
      <name val="Calibri"/>
      <family val="2"/>
      <scheme val="minor"/>
    </font>
    <font>
      <sz val="11"/>
      <color theme="1"/>
      <name val="Calibri"/>
      <family val="1"/>
      <charset val="2"/>
      <scheme val="minor"/>
    </font>
    <font>
      <sz val="14"/>
      <color rgb="FFFFFF00"/>
      <name val="Calibri"/>
      <family val="2"/>
      <scheme val="minor"/>
    </font>
    <font>
      <sz val="8"/>
      <color rgb="FF242729"/>
      <name val="Consolas"/>
      <family val="3"/>
    </font>
    <font>
      <sz val="9"/>
      <color indexed="81"/>
      <name val="Tahoma"/>
      <family val="2"/>
    </font>
    <font>
      <b/>
      <sz val="9"/>
      <color indexed="81"/>
      <name val="Tahoma"/>
      <family val="2"/>
    </font>
    <font>
      <b/>
      <i/>
      <sz val="18"/>
      <color theme="1"/>
      <name val="Calibri"/>
      <family val="2"/>
      <scheme val="minor"/>
    </font>
    <font>
      <b/>
      <sz val="11"/>
      <color theme="2" tint="-9.9978637043366805E-2"/>
      <name val="Calibri"/>
      <family val="2"/>
      <scheme val="minor"/>
    </font>
    <font>
      <sz val="11"/>
      <color theme="2" tint="-9.9978637043366805E-2"/>
      <name val="Calibri"/>
      <family val="2"/>
      <scheme val="minor"/>
    </font>
    <font>
      <b/>
      <sz val="14"/>
      <color theme="1"/>
      <name val="Calibri"/>
      <family val="2"/>
      <scheme val="minor"/>
    </font>
    <font>
      <b/>
      <sz val="14"/>
      <color theme="1"/>
      <name val="Arial"/>
      <family val="2"/>
    </font>
    <font>
      <sz val="12"/>
      <color theme="1"/>
      <name val="Times New Roman"/>
      <family val="1"/>
    </font>
    <font>
      <b/>
      <i/>
      <sz val="14"/>
      <color theme="1"/>
      <name val="Arial"/>
      <family val="2"/>
    </font>
    <font>
      <sz val="14"/>
      <color theme="1"/>
      <name val="Arial"/>
      <family val="2"/>
    </font>
    <font>
      <b/>
      <sz val="14"/>
      <color theme="1"/>
      <name val="Times New Roman"/>
      <family val="1"/>
    </font>
    <font>
      <sz val="11"/>
      <color theme="1"/>
      <name val="Times New Roman"/>
      <family val="1"/>
    </font>
    <font>
      <sz val="11"/>
      <color theme="1"/>
      <name val="Calibri"/>
      <family val="2"/>
    </font>
    <font>
      <b/>
      <sz val="11"/>
      <color theme="2"/>
      <name val="Calibri"/>
      <family val="2"/>
      <scheme val="minor"/>
    </font>
    <font>
      <sz val="11"/>
      <color theme="2"/>
      <name val="Calibri"/>
      <family val="2"/>
      <scheme val="minor"/>
    </font>
  </fonts>
  <fills count="19">
    <fill>
      <patternFill patternType="none"/>
    </fill>
    <fill>
      <patternFill patternType="gray125"/>
    </fill>
    <fill>
      <patternFill patternType="solid">
        <fgColor theme="9"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00">
    <xf numFmtId="0" fontId="0" fillId="0" borderId="0" xfId="0"/>
    <xf numFmtId="0" fontId="2" fillId="2" borderId="1" xfId="0" applyFont="1" applyFill="1" applyBorder="1"/>
    <xf numFmtId="0" fontId="0" fillId="2" borderId="1" xfId="0" applyFill="1" applyBorder="1"/>
    <xf numFmtId="0" fontId="0" fillId="3" borderId="1" xfId="0" applyFill="1" applyBorder="1"/>
    <xf numFmtId="0" fontId="0" fillId="4" borderId="0" xfId="0" applyFill="1"/>
    <xf numFmtId="0" fontId="0" fillId="5" borderId="1" xfId="0" applyFill="1" applyBorder="1"/>
    <xf numFmtId="0" fontId="7" fillId="5" borderId="1" xfId="0" applyFont="1" applyFill="1" applyBorder="1"/>
    <xf numFmtId="0" fontId="0" fillId="5" borderId="0" xfId="0" applyFill="1"/>
    <xf numFmtId="164" fontId="0" fillId="5" borderId="1" xfId="1" applyNumberFormat="1" applyFont="1" applyFill="1" applyBorder="1"/>
    <xf numFmtId="43" fontId="0" fillId="0" borderId="0" xfId="1" applyFont="1"/>
    <xf numFmtId="0" fontId="2" fillId="3" borderId="1" xfId="0" applyFont="1" applyFill="1" applyBorder="1"/>
    <xf numFmtId="43" fontId="0" fillId="0" borderId="0" xfId="0" applyNumberFormat="1"/>
    <xf numFmtId="4" fontId="2" fillId="2" borderId="1" xfId="0" applyNumberFormat="1" applyFont="1" applyFill="1" applyBorder="1"/>
    <xf numFmtId="0" fontId="0" fillId="6" borderId="1" xfId="0" applyFill="1" applyBorder="1"/>
    <xf numFmtId="43" fontId="0" fillId="6" borderId="1" xfId="1" applyFont="1" applyFill="1" applyBorder="1"/>
    <xf numFmtId="43" fontId="0" fillId="6" borderId="1" xfId="0" applyNumberFormat="1" applyFill="1" applyBorder="1"/>
    <xf numFmtId="0" fontId="0" fillId="0" borderId="1" xfId="0" applyBorder="1"/>
    <xf numFmtId="0" fontId="2" fillId="6" borderId="1" xfId="0" applyFont="1" applyFill="1" applyBorder="1"/>
    <xf numFmtId="0" fontId="7" fillId="0" borderId="0" xfId="0" applyFont="1"/>
    <xf numFmtId="0" fontId="9" fillId="0" borderId="0" xfId="0" applyFont="1"/>
    <xf numFmtId="4" fontId="0" fillId="0" borderId="0" xfId="0" applyNumberFormat="1"/>
    <xf numFmtId="4" fontId="0" fillId="6" borderId="1" xfId="0" applyNumberFormat="1" applyFill="1" applyBorder="1"/>
    <xf numFmtId="0" fontId="0" fillId="6" borderId="0" xfId="0" applyFill="1" applyBorder="1"/>
    <xf numFmtId="0" fontId="0" fillId="4" borderId="1" xfId="0" applyFill="1" applyBorder="1"/>
    <xf numFmtId="43" fontId="0" fillId="4" borderId="1" xfId="1" applyFont="1" applyFill="1" applyBorder="1"/>
    <xf numFmtId="0" fontId="2" fillId="5" borderId="1" xfId="0" applyFont="1" applyFill="1" applyBorder="1"/>
    <xf numFmtId="165" fontId="0" fillId="0" borderId="0" xfId="0" applyNumberFormat="1"/>
    <xf numFmtId="0" fontId="0" fillId="7" borderId="1" xfId="0" applyFill="1" applyBorder="1"/>
    <xf numFmtId="0" fontId="0" fillId="7" borderId="1" xfId="0" applyFill="1" applyBorder="1" applyProtection="1">
      <protection locked="0"/>
    </xf>
    <xf numFmtId="4" fontId="0" fillId="4" borderId="0" xfId="0" applyNumberFormat="1" applyFill="1"/>
    <xf numFmtId="0" fontId="0" fillId="8" borderId="1" xfId="0" applyFill="1" applyBorder="1" applyProtection="1">
      <protection locked="0"/>
    </xf>
    <xf numFmtId="0" fontId="3" fillId="0" borderId="3" xfId="0" applyFont="1" applyBorder="1"/>
    <xf numFmtId="0" fontId="0" fillId="0" borderId="3" xfId="0" applyBorder="1"/>
    <xf numFmtId="43" fontId="0" fillId="0" borderId="3" xfId="1" applyFont="1" applyBorder="1"/>
    <xf numFmtId="0" fontId="0" fillId="0" borderId="4" xfId="0" applyBorder="1"/>
    <xf numFmtId="0" fontId="0" fillId="0" borderId="0" xfId="0" applyBorder="1"/>
    <xf numFmtId="43" fontId="0" fillId="0" borderId="0" xfId="1" applyFont="1" applyBorder="1"/>
    <xf numFmtId="0" fontId="0" fillId="0" borderId="6" xfId="0" applyBorder="1"/>
    <xf numFmtId="0" fontId="0" fillId="0" borderId="8" xfId="0" applyBorder="1"/>
    <xf numFmtId="0" fontId="0" fillId="0" borderId="9" xfId="0" applyBorder="1"/>
    <xf numFmtId="0" fontId="2" fillId="7" borderId="10" xfId="0" applyFont="1" applyFill="1" applyBorder="1"/>
    <xf numFmtId="0" fontId="0" fillId="7" borderId="10" xfId="0" applyFill="1" applyBorder="1" applyProtection="1">
      <protection locked="0"/>
    </xf>
    <xf numFmtId="0" fontId="0" fillId="3" borderId="11" xfId="0" applyFill="1" applyBorder="1"/>
    <xf numFmtId="10" fontId="0" fillId="5" borderId="1" xfId="0" applyNumberFormat="1" applyFill="1" applyBorder="1"/>
    <xf numFmtId="0" fontId="0" fillId="0" borderId="0" xfId="0" applyAlignment="1">
      <alignment horizontal="center"/>
    </xf>
    <xf numFmtId="166" fontId="0" fillId="0" borderId="0" xfId="0" applyNumberFormat="1"/>
    <xf numFmtId="165" fontId="0" fillId="0" borderId="0" xfId="0" applyNumberFormat="1" applyAlignment="1">
      <alignment horizontal="center"/>
    </xf>
    <xf numFmtId="0" fontId="10" fillId="9" borderId="0" xfId="0" applyFont="1" applyFill="1" applyBorder="1"/>
    <xf numFmtId="43" fontId="0" fillId="0" borderId="0" xfId="0" applyNumberFormat="1" applyAlignment="1">
      <alignment horizontal="center"/>
    </xf>
    <xf numFmtId="2" fontId="0" fillId="0" borderId="0" xfId="1" applyNumberFormat="1" applyFont="1" applyAlignment="1">
      <alignment horizontal="center"/>
    </xf>
    <xf numFmtId="1" fontId="0" fillId="0" borderId="0" xfId="0" applyNumberFormat="1" applyAlignment="1">
      <alignment horizontal="center"/>
    </xf>
    <xf numFmtId="0" fontId="11" fillId="0" borderId="0" xfId="0" applyFont="1" applyAlignment="1">
      <alignment horizontal="left" vertical="center"/>
    </xf>
    <xf numFmtId="43" fontId="0" fillId="0" borderId="0" xfId="1" applyFont="1" applyAlignment="1">
      <alignment horizontal="center"/>
    </xf>
    <xf numFmtId="0" fontId="0" fillId="0" borderId="0" xfId="0" applyAlignment="1">
      <alignment horizontal="center" vertical="center" wrapText="1"/>
    </xf>
    <xf numFmtId="0" fontId="2" fillId="10" borderId="0" xfId="0" applyFont="1" applyFill="1" applyAlignment="1">
      <alignment horizontal="center"/>
    </xf>
    <xf numFmtId="0" fontId="0" fillId="10" borderId="0" xfId="0" applyFill="1"/>
    <xf numFmtId="43" fontId="0" fillId="10" borderId="0" xfId="0" applyNumberFormat="1" applyFill="1"/>
    <xf numFmtId="0" fontId="0" fillId="10" borderId="0" xfId="0" applyFill="1" applyAlignment="1">
      <alignment horizontal="left"/>
    </xf>
    <xf numFmtId="4" fontId="0" fillId="10" borderId="0" xfId="0" applyNumberFormat="1" applyFill="1"/>
    <xf numFmtId="0" fontId="0" fillId="10" borderId="1" xfId="0" applyFill="1" applyBorder="1"/>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left" vertical="center"/>
    </xf>
    <xf numFmtId="165" fontId="0" fillId="0" borderId="0" xfId="0" applyNumberFormat="1" applyAlignment="1">
      <alignment horizontal="center" vertical="center"/>
    </xf>
    <xf numFmtId="0" fontId="0" fillId="0" borderId="0" xfId="0" applyAlignment="1">
      <alignment vertical="center"/>
    </xf>
    <xf numFmtId="0" fontId="0" fillId="0" borderId="5" xfId="0" applyBorder="1" applyAlignment="1">
      <alignment wrapText="1"/>
    </xf>
    <xf numFmtId="0" fontId="0" fillId="11" borderId="1" xfId="0" applyFill="1" applyBorder="1"/>
    <xf numFmtId="43" fontId="0" fillId="11" borderId="1" xfId="1" applyFont="1" applyFill="1" applyBorder="1"/>
    <xf numFmtId="0" fontId="2" fillId="11" borderId="1" xfId="0" applyFont="1" applyFill="1" applyBorder="1" applyAlignment="1">
      <alignment vertical="center"/>
    </xf>
    <xf numFmtId="0" fontId="0" fillId="11" borderId="1" xfId="0" applyFill="1" applyBorder="1" applyAlignment="1">
      <alignment vertical="center"/>
    </xf>
    <xf numFmtId="43" fontId="0" fillId="11" borderId="1" xfId="1" applyFont="1" applyFill="1" applyBorder="1" applyAlignment="1">
      <alignment vertical="center"/>
    </xf>
    <xf numFmtId="4" fontId="2" fillId="11" borderId="1" xfId="0" applyNumberFormat="1" applyFont="1" applyFill="1" applyBorder="1" applyAlignment="1" applyProtection="1">
      <alignment vertical="center"/>
      <protection locked="0"/>
    </xf>
    <xf numFmtId="43" fontId="2" fillId="11" borderId="1" xfId="1" applyFont="1" applyFill="1" applyBorder="1" applyAlignment="1">
      <alignment vertical="center"/>
    </xf>
    <xf numFmtId="0" fontId="2" fillId="0" borderId="5" xfId="0" applyFont="1" applyBorder="1" applyAlignment="1">
      <alignment wrapText="1"/>
    </xf>
    <xf numFmtId="0" fontId="0" fillId="0" borderId="7" xfId="0" applyBorder="1" applyAlignment="1">
      <alignment wrapText="1"/>
    </xf>
    <xf numFmtId="0" fontId="0" fillId="0" borderId="0" xfId="0" applyAlignment="1">
      <alignment wrapText="1"/>
    </xf>
    <xf numFmtId="0" fontId="0" fillId="0" borderId="0" xfId="0" applyAlignment="1">
      <alignment horizontal="center" wrapText="1"/>
    </xf>
    <xf numFmtId="10" fontId="0" fillId="11" borderId="1" xfId="0" applyNumberFormat="1" applyFill="1" applyBorder="1" applyProtection="1">
      <protection locked="0"/>
    </xf>
    <xf numFmtId="164" fontId="0" fillId="11" borderId="1" xfId="1" applyNumberFormat="1" applyFont="1" applyFill="1" applyBorder="1"/>
    <xf numFmtId="0" fontId="0" fillId="11" borderId="1" xfId="0" applyFill="1" applyBorder="1" applyProtection="1">
      <protection locked="0"/>
    </xf>
    <xf numFmtId="0" fontId="0" fillId="0" borderId="0" xfId="0" applyAlignment="1">
      <alignment horizontal="right"/>
    </xf>
    <xf numFmtId="167" fontId="0" fillId="0" borderId="0" xfId="0" applyNumberFormat="1"/>
    <xf numFmtId="2" fontId="0" fillId="0" borderId="0" xfId="0" applyNumberFormat="1"/>
    <xf numFmtId="168" fontId="0" fillId="0" borderId="0" xfId="0" applyNumberFormat="1"/>
    <xf numFmtId="0" fontId="0" fillId="12" borderId="0" xfId="0" applyFill="1"/>
    <xf numFmtId="0" fontId="4" fillId="0" borderId="2" xfId="0" applyFont="1" applyBorder="1" applyAlignment="1">
      <alignment vertical="center"/>
    </xf>
    <xf numFmtId="0" fontId="0" fillId="11" borderId="14" xfId="0" applyFill="1" applyBorder="1" applyAlignment="1">
      <alignment vertical="center"/>
    </xf>
    <xf numFmtId="0" fontId="0" fillId="4" borderId="14" xfId="0" applyFill="1" applyBorder="1"/>
    <xf numFmtId="0" fontId="0" fillId="6" borderId="1" xfId="0" applyFill="1" applyBorder="1" applyAlignment="1">
      <alignment horizontal="right" vertical="center"/>
    </xf>
    <xf numFmtId="11" fontId="0" fillId="0" borderId="0" xfId="0" applyNumberFormat="1"/>
    <xf numFmtId="0" fontId="0" fillId="0" borderId="0" xfId="0" applyAlignment="1">
      <alignment horizontal="left"/>
    </xf>
    <xf numFmtId="0" fontId="4" fillId="0" borderId="0" xfId="0" applyFont="1" applyAlignment="1">
      <alignment vertical="center"/>
    </xf>
    <xf numFmtId="0" fontId="3" fillId="0" borderId="3" xfId="0" applyFont="1" applyBorder="1" applyAlignment="1">
      <alignment vertical="center"/>
    </xf>
    <xf numFmtId="0" fontId="0" fillId="0" borderId="3" xfId="0" applyBorder="1" applyAlignment="1">
      <alignment vertical="center"/>
    </xf>
    <xf numFmtId="43" fontId="0" fillId="0" borderId="3" xfId="1" applyFont="1" applyBorder="1" applyAlignment="1">
      <alignment vertical="center"/>
    </xf>
    <xf numFmtId="0" fontId="2" fillId="0" borderId="5" xfId="0" applyFont="1" applyBorder="1" applyAlignment="1">
      <alignment vertical="center" wrapText="1"/>
    </xf>
    <xf numFmtId="43" fontId="0" fillId="0" borderId="0" xfId="1" applyFont="1" applyBorder="1" applyAlignment="1">
      <alignment vertical="center"/>
    </xf>
    <xf numFmtId="0" fontId="0" fillId="11" borderId="1" xfId="0" applyFill="1" applyBorder="1" applyAlignment="1">
      <alignment vertical="center" wrapText="1"/>
    </xf>
    <xf numFmtId="4" fontId="0" fillId="11" borderId="1" xfId="0" applyNumberFormat="1" applyFill="1" applyBorder="1" applyAlignment="1" applyProtection="1">
      <alignment vertical="center"/>
      <protection locked="0"/>
    </xf>
    <xf numFmtId="0" fontId="15" fillId="11" borderId="1" xfId="0" applyFont="1" applyFill="1" applyBorder="1" applyAlignment="1">
      <alignment vertical="center"/>
    </xf>
    <xf numFmtId="4" fontId="15" fillId="11" borderId="1" xfId="0" applyNumberFormat="1" applyFont="1" applyFill="1" applyBorder="1" applyAlignment="1">
      <alignment vertical="center"/>
    </xf>
    <xf numFmtId="0" fontId="16" fillId="11" borderId="1" xfId="0" applyFont="1" applyFill="1" applyBorder="1" applyAlignment="1">
      <alignment vertical="center"/>
    </xf>
    <xf numFmtId="0" fontId="2" fillId="11" borderId="1" xfId="0" applyFont="1" applyFill="1" applyBorder="1"/>
    <xf numFmtId="0" fontId="0" fillId="2" borderId="12" xfId="0" applyFill="1" applyBorder="1" applyAlignment="1">
      <alignment wrapText="1"/>
    </xf>
    <xf numFmtId="0" fontId="2" fillId="2" borderId="1" xfId="0" applyFont="1" applyFill="1" applyBorder="1" applyAlignment="1">
      <alignment vertical="center"/>
    </xf>
    <xf numFmtId="4" fontId="2" fillId="2" borderId="1" xfId="0" applyNumberFormat="1" applyFont="1" applyFill="1" applyBorder="1" applyAlignment="1" applyProtection="1">
      <alignment vertical="center"/>
      <protection locked="0"/>
    </xf>
    <xf numFmtId="0" fontId="0" fillId="2" borderId="1" xfId="0" applyFill="1" applyBorder="1" applyAlignment="1">
      <alignment vertical="center"/>
    </xf>
    <xf numFmtId="43" fontId="0" fillId="4" borderId="1" xfId="1" applyFont="1" applyFill="1" applyBorder="1" applyAlignment="1">
      <alignment vertical="center"/>
    </xf>
    <xf numFmtId="0" fontId="0" fillId="4" borderId="1" xfId="0" applyFill="1" applyBorder="1" applyAlignment="1">
      <alignment vertical="center"/>
    </xf>
    <xf numFmtId="0" fontId="5" fillId="2" borderId="1" xfId="0" applyFont="1" applyFill="1" applyBorder="1" applyAlignment="1">
      <alignment vertical="center"/>
    </xf>
    <xf numFmtId="4" fontId="2" fillId="2" borderId="1" xfId="0" applyNumberFormat="1" applyFont="1" applyFill="1" applyBorder="1" applyAlignment="1">
      <alignment vertical="center"/>
    </xf>
    <xf numFmtId="0" fontId="0" fillId="0" borderId="5" xfId="0" applyBorder="1"/>
    <xf numFmtId="0" fontId="2" fillId="8" borderId="1" xfId="0" applyFont="1" applyFill="1" applyBorder="1"/>
    <xf numFmtId="0" fontId="0" fillId="0" borderId="7" xfId="0" applyBorder="1"/>
    <xf numFmtId="0" fontId="0" fillId="0" borderId="2" xfId="0" applyBorder="1"/>
    <xf numFmtId="0" fontId="17" fillId="0" borderId="0" xfId="0" applyFont="1"/>
    <xf numFmtId="0" fontId="2" fillId="0" borderId="0" xfId="0" applyFont="1"/>
    <xf numFmtId="43" fontId="0" fillId="5" borderId="1" xfId="1" applyFont="1" applyFill="1" applyBorder="1"/>
    <xf numFmtId="43" fontId="0" fillId="0" borderId="6" xfId="0" applyNumberFormat="1" applyBorder="1"/>
    <xf numFmtId="43" fontId="0" fillId="0" borderId="8" xfId="1" applyFont="1" applyBorder="1"/>
    <xf numFmtId="43" fontId="0" fillId="0" borderId="8" xfId="0" applyNumberFormat="1" applyBorder="1"/>
    <xf numFmtId="0" fontId="14" fillId="0" borderId="0" xfId="0" applyFont="1" applyAlignment="1">
      <alignment vertical="center"/>
    </xf>
    <xf numFmtId="0" fontId="0" fillId="6" borderId="0" xfId="0" applyFill="1"/>
    <xf numFmtId="0" fontId="10" fillId="9" borderId="0" xfId="0" applyFont="1" applyFill="1"/>
    <xf numFmtId="4" fontId="0" fillId="5" borderId="1" xfId="0" applyNumberFormat="1" applyFill="1" applyBorder="1"/>
    <xf numFmtId="0" fontId="0" fillId="11" borderId="1" xfId="0" applyFont="1" applyFill="1" applyBorder="1" applyAlignment="1">
      <alignment vertical="center"/>
    </xf>
    <xf numFmtId="43" fontId="1" fillId="11" borderId="1" xfId="1" applyFont="1" applyFill="1" applyBorder="1" applyAlignment="1">
      <alignment vertical="center"/>
    </xf>
    <xf numFmtId="0" fontId="0" fillId="11" borderId="14" xfId="0" applyFont="1" applyFill="1" applyBorder="1" applyAlignment="1">
      <alignment vertical="center"/>
    </xf>
    <xf numFmtId="4" fontId="0" fillId="11" borderId="1" xfId="0" applyNumberFormat="1" applyFont="1" applyFill="1" applyBorder="1" applyAlignment="1" applyProtection="1">
      <alignment vertical="center"/>
      <protection locked="0"/>
    </xf>
    <xf numFmtId="4" fontId="0" fillId="11" borderId="1" xfId="0" applyNumberFormat="1" applyFont="1" applyFill="1" applyBorder="1" applyAlignment="1" applyProtection="1">
      <alignment vertical="center"/>
    </xf>
    <xf numFmtId="0" fontId="0" fillId="11" borderId="14" xfId="0" applyFont="1" applyFill="1" applyBorder="1" applyAlignment="1">
      <alignment vertical="center" wrapText="1"/>
    </xf>
    <xf numFmtId="0" fontId="0" fillId="4" borderId="14" xfId="0" applyFill="1" applyBorder="1" applyAlignment="1">
      <alignment vertical="center"/>
    </xf>
    <xf numFmtId="164" fontId="1" fillId="11" borderId="1" xfId="1" applyNumberFormat="1" applyFont="1" applyFill="1" applyBorder="1" applyAlignment="1">
      <alignment vertical="center"/>
    </xf>
    <xf numFmtId="43" fontId="0" fillId="6" borderId="1" xfId="1" applyFont="1" applyFill="1" applyBorder="1" applyAlignment="1">
      <alignment vertical="center"/>
    </xf>
    <xf numFmtId="0" fontId="0" fillId="6" borderId="14" xfId="0" applyFill="1" applyBorder="1" applyAlignment="1">
      <alignment vertical="center"/>
    </xf>
    <xf numFmtId="43" fontId="0" fillId="6" borderId="1" xfId="0" applyNumberFormat="1" applyFill="1" applyBorder="1" applyAlignment="1">
      <alignment vertical="center"/>
    </xf>
    <xf numFmtId="43" fontId="0" fillId="6" borderId="16" xfId="0" applyNumberFormat="1" applyFill="1" applyBorder="1" applyAlignment="1">
      <alignment vertical="center"/>
    </xf>
    <xf numFmtId="0" fontId="0" fillId="6" borderId="17" xfId="0" applyFill="1" applyBorder="1" applyAlignment="1">
      <alignment vertical="center"/>
    </xf>
    <xf numFmtId="0" fontId="0" fillId="6" borderId="1" xfId="0" applyFill="1" applyBorder="1" applyAlignment="1">
      <alignment horizontal="center" vertical="center"/>
    </xf>
    <xf numFmtId="0" fontId="0" fillId="0" borderId="1" xfId="0" applyBorder="1" applyAlignment="1">
      <alignment horizontal="center" wrapText="1"/>
    </xf>
    <xf numFmtId="4" fontId="0" fillId="0" borderId="1" xfId="1" applyNumberFormat="1" applyFont="1" applyBorder="1" applyAlignment="1">
      <alignment horizontal="center" wrapText="1"/>
    </xf>
    <xf numFmtId="2" fontId="0" fillId="0" borderId="0" xfId="1" applyNumberFormat="1" applyFont="1" applyAlignment="1">
      <alignment horizontal="center" vertical="center"/>
    </xf>
    <xf numFmtId="2" fontId="0" fillId="0" borderId="0" xfId="0" applyNumberFormat="1" applyAlignment="1">
      <alignment horizontal="center" vertical="center"/>
    </xf>
    <xf numFmtId="0" fontId="19" fillId="0" borderId="0" xfId="0" applyFont="1" applyAlignment="1">
      <alignment vertical="center" wrapText="1"/>
    </xf>
    <xf numFmtId="0" fontId="22" fillId="0" borderId="0" xfId="0" applyFont="1" applyAlignment="1">
      <alignment horizontal="left" vertical="center" wrapText="1"/>
    </xf>
    <xf numFmtId="4" fontId="2" fillId="13" borderId="1" xfId="0" applyNumberFormat="1" applyFont="1" applyFill="1" applyBorder="1" applyAlignment="1" applyProtection="1">
      <alignment vertical="center"/>
      <protection locked="0"/>
    </xf>
    <xf numFmtId="170" fontId="2" fillId="13" borderId="1" xfId="2" applyNumberFormat="1" applyFont="1" applyFill="1" applyBorder="1" applyAlignment="1" applyProtection="1">
      <alignment vertical="center"/>
      <protection locked="0"/>
    </xf>
    <xf numFmtId="169" fontId="2" fillId="13" borderId="1" xfId="0" applyNumberFormat="1" applyFont="1" applyFill="1" applyBorder="1" applyAlignment="1" applyProtection="1">
      <alignment vertical="center"/>
      <protection locked="0"/>
    </xf>
    <xf numFmtId="3" fontId="0" fillId="11" borderId="1" xfId="0" applyNumberFormat="1" applyFont="1" applyFill="1" applyBorder="1" applyAlignment="1" applyProtection="1">
      <alignment vertical="center"/>
    </xf>
    <xf numFmtId="166" fontId="1" fillId="11" borderId="1" xfId="1" applyNumberFormat="1" applyFont="1" applyFill="1" applyBorder="1" applyAlignment="1">
      <alignment vertical="center"/>
    </xf>
    <xf numFmtId="0" fontId="0" fillId="15" borderId="1" xfId="0" applyFill="1" applyBorder="1" applyAlignment="1">
      <alignment vertical="center"/>
    </xf>
    <xf numFmtId="0" fontId="2" fillId="15" borderId="13" xfId="0" applyFont="1" applyFill="1" applyBorder="1" applyAlignment="1">
      <alignment vertical="center"/>
    </xf>
    <xf numFmtId="0" fontId="0" fillId="15" borderId="14" xfId="0" applyFill="1" applyBorder="1" applyAlignment="1">
      <alignment vertical="center"/>
    </xf>
    <xf numFmtId="0" fontId="0" fillId="14" borderId="1" xfId="0" applyFill="1" applyBorder="1"/>
    <xf numFmtId="43" fontId="0" fillId="14" borderId="1" xfId="1" applyFont="1" applyFill="1" applyBorder="1"/>
    <xf numFmtId="0" fontId="0" fillId="11" borderId="1" xfId="0" applyFont="1" applyFill="1" applyBorder="1" applyAlignment="1">
      <alignment vertical="center" wrapText="1"/>
    </xf>
    <xf numFmtId="4" fontId="2" fillId="14" borderId="1" xfId="0" applyNumberFormat="1" applyFont="1" applyFill="1" applyBorder="1" applyProtection="1">
      <protection locked="0"/>
    </xf>
    <xf numFmtId="43" fontId="0" fillId="0" borderId="1" xfId="1" applyFont="1" applyBorder="1"/>
    <xf numFmtId="0" fontId="0" fillId="14" borderId="14" xfId="0" applyFill="1" applyBorder="1"/>
    <xf numFmtId="0" fontId="2" fillId="14" borderId="13" xfId="0" applyFont="1" applyFill="1" applyBorder="1" applyAlignment="1">
      <alignment vertical="center" wrapText="1"/>
    </xf>
    <xf numFmtId="0" fontId="0" fillId="0" borderId="14" xfId="0" applyBorder="1"/>
    <xf numFmtId="0" fontId="0" fillId="11" borderId="1" xfId="0" applyFill="1" applyBorder="1" applyAlignment="1">
      <alignment horizontal="center" vertical="center"/>
    </xf>
    <xf numFmtId="0" fontId="0" fillId="11" borderId="1" xfId="0" applyFont="1" applyFill="1" applyBorder="1" applyAlignment="1">
      <alignment horizontal="center" vertical="center"/>
    </xf>
    <xf numFmtId="0" fontId="2" fillId="14" borderId="1" xfId="0" applyFont="1" applyFill="1" applyBorder="1" applyAlignment="1">
      <alignment horizontal="center"/>
    </xf>
    <xf numFmtId="0" fontId="2"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2" fillId="2" borderId="1" xfId="0" applyFont="1" applyFill="1" applyBorder="1" applyAlignment="1">
      <alignment horizontal="center"/>
    </xf>
    <xf numFmtId="4" fontId="2" fillId="13" borderId="1" xfId="0" applyNumberFormat="1" applyFont="1" applyFill="1" applyBorder="1" applyAlignment="1" applyProtection="1">
      <alignment horizontal="center" vertical="center"/>
      <protection locked="0"/>
    </xf>
    <xf numFmtId="164" fontId="0" fillId="11" borderId="1" xfId="1" applyNumberFormat="1" applyFont="1" applyFill="1" applyBorder="1" applyAlignment="1">
      <alignment vertical="center"/>
    </xf>
    <xf numFmtId="0" fontId="2" fillId="11" borderId="13" xfId="0" applyFont="1" applyFill="1" applyBorder="1" applyAlignment="1">
      <alignment vertical="center"/>
    </xf>
    <xf numFmtId="0" fontId="0" fillId="11" borderId="13" xfId="0" applyFont="1" applyFill="1" applyBorder="1" applyAlignment="1">
      <alignment vertical="center"/>
    </xf>
    <xf numFmtId="0" fontId="2" fillId="2" borderId="13" xfId="0" applyFont="1" applyFill="1" applyBorder="1" applyAlignment="1">
      <alignment vertical="center"/>
    </xf>
    <xf numFmtId="0" fontId="0" fillId="2" borderId="1" xfId="0" applyFont="1" applyFill="1" applyBorder="1" applyAlignment="1">
      <alignment vertical="center" wrapText="1"/>
    </xf>
    <xf numFmtId="0" fontId="0" fillId="2" borderId="13" xfId="0" applyFont="1" applyFill="1" applyBorder="1" applyAlignment="1">
      <alignment wrapText="1"/>
    </xf>
    <xf numFmtId="0" fontId="2" fillId="2" borderId="13" xfId="0" applyFont="1" applyFill="1" applyBorder="1"/>
    <xf numFmtId="0" fontId="0" fillId="2" borderId="1" xfId="0" applyFont="1" applyFill="1" applyBorder="1" applyAlignment="1">
      <alignment wrapText="1"/>
    </xf>
    <xf numFmtId="0" fontId="0" fillId="11" borderId="1" xfId="0" applyFont="1" applyFill="1" applyBorder="1" applyAlignment="1">
      <alignment wrapText="1"/>
    </xf>
    <xf numFmtId="0" fontId="0" fillId="11" borderId="1" xfId="0" applyFill="1" applyBorder="1" applyAlignment="1">
      <alignment horizontal="left" vertical="top" wrapText="1"/>
    </xf>
    <xf numFmtId="0" fontId="2" fillId="6" borderId="1" xfId="0" applyFont="1" applyFill="1" applyBorder="1" applyAlignment="1">
      <alignment vertical="center" wrapText="1"/>
    </xf>
    <xf numFmtId="0" fontId="0" fillId="6" borderId="1" xfId="0" applyFont="1" applyFill="1" applyBorder="1" applyAlignment="1">
      <alignment vertical="center" wrapText="1"/>
    </xf>
    <xf numFmtId="0" fontId="2" fillId="6" borderId="15" xfId="0" applyFont="1" applyFill="1" applyBorder="1" applyAlignment="1">
      <alignment vertical="center" wrapText="1"/>
    </xf>
    <xf numFmtId="0" fontId="0" fillId="6" borderId="16" xfId="0" applyFont="1" applyFill="1" applyBorder="1" applyAlignment="1">
      <alignment vertical="center"/>
    </xf>
    <xf numFmtId="0" fontId="2" fillId="16" borderId="1" xfId="0" applyFont="1" applyFill="1" applyBorder="1" applyAlignment="1">
      <alignment horizontal="center" vertical="center" wrapText="1"/>
    </xf>
    <xf numFmtId="0" fontId="2" fillId="16" borderId="1" xfId="0" applyFont="1" applyFill="1" applyBorder="1" applyAlignment="1">
      <alignment horizontal="center" vertical="center"/>
    </xf>
    <xf numFmtId="0" fontId="2" fillId="17" borderId="10" xfId="0" applyFont="1" applyFill="1" applyBorder="1"/>
    <xf numFmtId="0" fontId="0" fillId="17" borderId="1" xfId="0" applyFill="1" applyBorder="1"/>
    <xf numFmtId="0" fontId="0" fillId="17" borderId="10" xfId="0" applyFill="1" applyBorder="1" applyProtection="1">
      <protection locked="0"/>
    </xf>
    <xf numFmtId="0" fontId="0" fillId="17" borderId="1" xfId="0" applyFill="1" applyBorder="1" applyProtection="1">
      <protection locked="0"/>
    </xf>
    <xf numFmtId="0" fontId="0" fillId="17" borderId="0" xfId="0" applyFill="1"/>
    <xf numFmtId="0" fontId="2" fillId="18" borderId="1" xfId="0" applyFont="1" applyFill="1" applyBorder="1"/>
    <xf numFmtId="0" fontId="0" fillId="18" borderId="1" xfId="0" applyFill="1" applyBorder="1"/>
    <xf numFmtId="0" fontId="2" fillId="6" borderId="13" xfId="0" applyFont="1" applyFill="1" applyBorder="1" applyAlignment="1">
      <alignment vertical="center"/>
    </xf>
    <xf numFmtId="0" fontId="2" fillId="6" borderId="1" xfId="0" applyFont="1" applyFill="1" applyBorder="1" applyAlignment="1"/>
    <xf numFmtId="0" fontId="4" fillId="6" borderId="1" xfId="0" applyFont="1" applyFill="1" applyBorder="1"/>
    <xf numFmtId="0" fontId="0" fillId="6" borderId="14" xfId="0" applyFill="1" applyBorder="1"/>
    <xf numFmtId="0" fontId="14" fillId="6" borderId="19" xfId="0" applyFont="1" applyFill="1" applyBorder="1" applyAlignment="1">
      <alignment vertical="center"/>
    </xf>
    <xf numFmtId="0" fontId="0" fillId="6" borderId="18" xfId="0" applyFill="1" applyBorder="1"/>
    <xf numFmtId="0" fontId="14" fillId="6" borderId="18" xfId="0" applyFont="1" applyFill="1" applyBorder="1" applyAlignment="1">
      <alignment vertical="center"/>
    </xf>
    <xf numFmtId="0" fontId="0" fillId="6" borderId="20" xfId="0" applyFill="1" applyBorder="1"/>
    <xf numFmtId="0" fontId="18" fillId="5" borderId="2" xfId="0" applyFont="1" applyFill="1" applyBorder="1"/>
    <xf numFmtId="0" fontId="11" fillId="5" borderId="3" xfId="0" applyFont="1" applyFill="1" applyBorder="1" applyAlignment="1">
      <alignment horizontal="left" vertical="center"/>
    </xf>
    <xf numFmtId="0" fontId="0" fillId="5" borderId="3" xfId="0" applyFill="1" applyBorder="1" applyAlignment="1">
      <alignment horizontal="center"/>
    </xf>
    <xf numFmtId="0" fontId="0" fillId="5" borderId="3" xfId="0" applyFill="1" applyBorder="1"/>
    <xf numFmtId="0" fontId="2" fillId="5" borderId="4" xfId="0" applyFont="1" applyFill="1" applyBorder="1" applyAlignment="1">
      <alignment horizontal="left" vertical="center"/>
    </xf>
    <xf numFmtId="0" fontId="2" fillId="5" borderId="5" xfId="0" applyFont="1" applyFill="1" applyBorder="1" applyAlignment="1">
      <alignment horizontal="left" vertical="center"/>
    </xf>
    <xf numFmtId="165" fontId="0" fillId="5" borderId="0" xfId="0" applyNumberFormat="1" applyFill="1" applyBorder="1" applyAlignment="1">
      <alignment horizontal="center" vertical="center"/>
    </xf>
    <xf numFmtId="0" fontId="0" fillId="5" borderId="0" xfId="0" applyFill="1" applyBorder="1" applyAlignment="1">
      <alignment horizontal="center" vertical="center"/>
    </xf>
    <xf numFmtId="0" fontId="0" fillId="5" borderId="0" xfId="0" applyFill="1" applyBorder="1"/>
    <xf numFmtId="0" fontId="0" fillId="5" borderId="6" xfId="0" applyFill="1" applyBorder="1"/>
    <xf numFmtId="0" fontId="0" fillId="5" borderId="5" xfId="0" applyFill="1" applyBorder="1"/>
    <xf numFmtId="0" fontId="0" fillId="5" borderId="0" xfId="0" applyFill="1" applyBorder="1" applyAlignment="1" applyProtection="1">
      <alignment horizontal="center"/>
      <protection locked="0"/>
    </xf>
    <xf numFmtId="0" fontId="0" fillId="5" borderId="7" xfId="0" applyFill="1" applyBorder="1"/>
    <xf numFmtId="0" fontId="0" fillId="5" borderId="8" xfId="0" applyFill="1" applyBorder="1" applyAlignment="1" applyProtection="1">
      <alignment horizontal="center"/>
      <protection locked="0"/>
    </xf>
    <xf numFmtId="0" fontId="0" fillId="5" borderId="8" xfId="0" applyFill="1" applyBorder="1"/>
    <xf numFmtId="0" fontId="0" fillId="5" borderId="9" xfId="0" applyFill="1" applyBorder="1"/>
    <xf numFmtId="0" fontId="0" fillId="11" borderId="13" xfId="0" applyFill="1" applyBorder="1" applyAlignment="1">
      <alignment vertical="center" wrapText="1"/>
    </xf>
    <xf numFmtId="0" fontId="2" fillId="11" borderId="1" xfId="0" applyFont="1" applyFill="1" applyBorder="1" applyAlignment="1">
      <alignment horizontal="center" vertical="center"/>
    </xf>
    <xf numFmtId="4" fontId="0" fillId="11" borderId="1" xfId="0" applyNumberFormat="1" applyFill="1" applyBorder="1" applyAlignment="1">
      <alignment vertical="center"/>
    </xf>
    <xf numFmtId="10" fontId="0" fillId="11" borderId="1" xfId="0" applyNumberFormat="1" applyFill="1" applyBorder="1" applyAlignment="1" applyProtection="1">
      <alignment vertical="center"/>
      <protection locked="0"/>
    </xf>
    <xf numFmtId="0" fontId="0" fillId="11" borderId="12" xfId="0" applyFill="1" applyBorder="1" applyAlignment="1">
      <alignment vertical="center"/>
    </xf>
    <xf numFmtId="43" fontId="0" fillId="11" borderId="12" xfId="1" applyFont="1" applyFill="1" applyBorder="1" applyAlignment="1">
      <alignment vertical="center"/>
    </xf>
    <xf numFmtId="0" fontId="0" fillId="11" borderId="24" xfId="0" applyFill="1" applyBorder="1" applyAlignment="1">
      <alignment vertical="center"/>
    </xf>
    <xf numFmtId="0" fontId="0" fillId="11" borderId="1" xfId="0" applyFill="1" applyBorder="1" applyAlignment="1" applyProtection="1">
      <alignment vertical="center"/>
      <protection locked="0"/>
    </xf>
    <xf numFmtId="0" fontId="2" fillId="11" borderId="25" xfId="0" applyFont="1" applyFill="1" applyBorder="1" applyAlignment="1">
      <alignment vertical="center"/>
    </xf>
    <xf numFmtId="0" fontId="0" fillId="11" borderId="15" xfId="0" applyFill="1" applyBorder="1" applyAlignment="1">
      <alignment vertical="center" wrapText="1"/>
    </xf>
    <xf numFmtId="0" fontId="2" fillId="11" borderId="25" xfId="0" applyFont="1" applyFill="1" applyBorder="1" applyAlignment="1">
      <alignment horizontal="center" vertical="center"/>
    </xf>
    <xf numFmtId="4" fontId="2" fillId="11" borderId="25" xfId="0" applyNumberFormat="1" applyFont="1" applyFill="1" applyBorder="1" applyAlignment="1" applyProtection="1">
      <alignment vertical="center"/>
      <protection locked="0"/>
    </xf>
    <xf numFmtId="0" fontId="0" fillId="11" borderId="25" xfId="0" applyFill="1" applyBorder="1" applyAlignment="1">
      <alignment vertical="center"/>
    </xf>
    <xf numFmtId="43" fontId="0" fillId="11" borderId="25" xfId="1" applyFont="1" applyFill="1" applyBorder="1" applyAlignment="1">
      <alignment vertical="center"/>
    </xf>
    <xf numFmtId="0" fontId="0" fillId="11" borderId="26" xfId="0" applyFill="1" applyBorder="1" applyAlignment="1">
      <alignment vertical="center"/>
    </xf>
    <xf numFmtId="0" fontId="0" fillId="2" borderId="13" xfId="0" applyFill="1" applyBorder="1" applyAlignment="1">
      <alignment vertical="center" wrapText="1"/>
    </xf>
    <xf numFmtId="4" fontId="2" fillId="2" borderId="1" xfId="0" applyNumberFormat="1" applyFont="1" applyFill="1" applyBorder="1" applyAlignment="1" applyProtection="1">
      <alignment horizontal="center" vertical="center"/>
      <protection locked="0"/>
    </xf>
    <xf numFmtId="4" fontId="2" fillId="2" borderId="1" xfId="0" applyNumberFormat="1" applyFont="1" applyFill="1" applyBorder="1" applyAlignment="1">
      <alignment horizontal="center" vertical="center"/>
    </xf>
    <xf numFmtId="4" fontId="0" fillId="2" borderId="1" xfId="0" applyNumberFormat="1" applyFill="1" applyBorder="1" applyAlignment="1" applyProtection="1">
      <alignment vertical="center"/>
      <protection locked="0"/>
    </xf>
    <xf numFmtId="4" fontId="0" fillId="2" borderId="1" xfId="0" applyNumberFormat="1" applyFill="1" applyBorder="1" applyAlignment="1" applyProtection="1">
      <alignment vertical="center" wrapText="1"/>
      <protection locked="0"/>
    </xf>
    <xf numFmtId="0" fontId="2" fillId="8" borderId="27" xfId="0" applyFont="1" applyFill="1" applyBorder="1" applyAlignment="1">
      <alignment vertical="center"/>
    </xf>
    <xf numFmtId="0" fontId="0" fillId="8" borderId="12" xfId="0" applyFill="1" applyBorder="1" applyAlignment="1" applyProtection="1">
      <alignment vertical="center"/>
      <protection locked="0"/>
    </xf>
    <xf numFmtId="0" fontId="0" fillId="0" borderId="5"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xf>
    <xf numFmtId="0" fontId="0" fillId="0" borderId="0" xfId="0" applyAlignment="1">
      <alignment vertical="center" wrapText="1"/>
    </xf>
    <xf numFmtId="0" fontId="0" fillId="0" borderId="19" xfId="0" applyBorder="1" applyAlignment="1">
      <alignment vertical="center" wrapText="1"/>
    </xf>
    <xf numFmtId="0" fontId="0" fillId="0" borderId="18" xfId="0" applyBorder="1" applyAlignment="1">
      <alignment vertical="center"/>
    </xf>
    <xf numFmtId="0" fontId="0" fillId="0" borderId="20" xfId="0" applyBorder="1"/>
    <xf numFmtId="0" fontId="4" fillId="5" borderId="1" xfId="0" applyFont="1" applyFill="1" applyBorder="1" applyAlignment="1">
      <alignment vertical="center" wrapText="1"/>
    </xf>
    <xf numFmtId="4" fontId="4" fillId="5" borderId="1" xfId="0" applyNumberFormat="1" applyFont="1" applyFill="1" applyBorder="1" applyAlignment="1">
      <alignment vertical="center" wrapText="1"/>
    </xf>
    <xf numFmtId="0" fontId="4" fillId="5" borderId="14" xfId="0" applyFont="1" applyFill="1" applyBorder="1" applyAlignment="1">
      <alignment vertical="center" wrapText="1"/>
    </xf>
    <xf numFmtId="0" fontId="2" fillId="11" borderId="13" xfId="0" applyFont="1" applyFill="1" applyBorder="1" applyAlignment="1">
      <alignment vertical="center" wrapText="1"/>
    </xf>
    <xf numFmtId="172" fontId="0" fillId="11" borderId="1" xfId="1" applyNumberFormat="1" applyFont="1" applyFill="1" applyBorder="1" applyAlignment="1">
      <alignment vertical="center"/>
    </xf>
    <xf numFmtId="0" fontId="2" fillId="0" borderId="13" xfId="0" applyFon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0" fontId="0" fillId="0" borderId="14" xfId="0" applyBorder="1" applyAlignment="1">
      <alignment vertical="center"/>
    </xf>
    <xf numFmtId="0" fontId="0" fillId="6" borderId="13" xfId="0" applyFill="1" applyBorder="1" applyAlignment="1">
      <alignment vertical="center" wrapText="1"/>
    </xf>
    <xf numFmtId="0" fontId="0" fillId="6" borderId="1" xfId="0" applyFill="1" applyBorder="1" applyAlignment="1">
      <alignment vertical="center"/>
    </xf>
    <xf numFmtId="43" fontId="0" fillId="6" borderId="1" xfId="1" applyFont="1" applyFill="1" applyBorder="1" applyAlignment="1">
      <alignment horizontal="center" vertical="center"/>
    </xf>
    <xf numFmtId="43" fontId="0" fillId="6" borderId="1" xfId="0" applyNumberFormat="1" applyFill="1" applyBorder="1" applyAlignment="1">
      <alignment horizontal="center" vertical="center"/>
    </xf>
    <xf numFmtId="0" fontId="0" fillId="11" borderId="1" xfId="0" applyFill="1" applyBorder="1" applyAlignment="1">
      <alignment horizontal="left" vertical="center" wrapText="1"/>
    </xf>
    <xf numFmtId="0" fontId="2" fillId="11" borderId="15" xfId="0" applyFont="1" applyFill="1" applyBorder="1" applyAlignment="1">
      <alignment vertical="center" wrapText="1"/>
    </xf>
    <xf numFmtId="0" fontId="0" fillId="11" borderId="16" xfId="0" applyFill="1" applyBorder="1" applyAlignment="1">
      <alignment horizontal="left" vertical="center" wrapText="1"/>
    </xf>
    <xf numFmtId="0" fontId="0" fillId="11" borderId="16" xfId="0" applyFill="1" applyBorder="1" applyAlignment="1">
      <alignment horizontal="center" vertical="center"/>
    </xf>
    <xf numFmtId="43" fontId="0" fillId="11" borderId="16" xfId="1" applyFont="1" applyFill="1" applyBorder="1" applyAlignment="1">
      <alignment vertical="center"/>
    </xf>
    <xf numFmtId="0" fontId="0" fillId="11" borderId="17" xfId="0" applyFill="1" applyBorder="1" applyAlignment="1">
      <alignment vertical="center"/>
    </xf>
    <xf numFmtId="43" fontId="0" fillId="5" borderId="1" xfId="0" applyNumberFormat="1" applyFill="1" applyBorder="1"/>
    <xf numFmtId="4" fontId="0" fillId="3" borderId="1" xfId="0" applyNumberFormat="1" applyFill="1" applyBorder="1"/>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0" fontId="25" fillId="11" borderId="1" xfId="0" applyFont="1" applyFill="1" applyBorder="1" applyAlignment="1">
      <alignment vertical="center"/>
    </xf>
    <xf numFmtId="0" fontId="26" fillId="11" borderId="13" xfId="0" applyFont="1" applyFill="1" applyBorder="1" applyAlignment="1">
      <alignment vertical="center" wrapText="1"/>
    </xf>
    <xf numFmtId="0" fontId="25" fillId="11" borderId="1" xfId="0" applyFont="1" applyFill="1" applyBorder="1" applyAlignment="1">
      <alignment horizontal="center" vertical="center"/>
    </xf>
    <xf numFmtId="4" fontId="25" fillId="11" borderId="1" xfId="0" applyNumberFormat="1" applyFont="1" applyFill="1" applyBorder="1" applyAlignment="1" applyProtection="1">
      <alignment vertical="center"/>
      <protection locked="0"/>
    </xf>
    <xf numFmtId="0" fontId="26" fillId="11" borderId="1" xfId="0" applyFont="1" applyFill="1" applyBorder="1" applyAlignment="1">
      <alignment vertical="center"/>
    </xf>
    <xf numFmtId="43" fontId="25" fillId="11" borderId="1" xfId="1" applyFont="1" applyFill="1" applyBorder="1" applyAlignment="1">
      <alignment vertical="center"/>
    </xf>
    <xf numFmtId="0" fontId="26" fillId="11" borderId="14" xfId="0" applyFont="1" applyFill="1" applyBorder="1" applyAlignment="1">
      <alignment vertical="center"/>
    </xf>
    <xf numFmtId="2" fontId="0" fillId="0" borderId="0" xfId="0" applyNumberFormat="1" applyAlignment="1">
      <alignment horizontal="center"/>
    </xf>
    <xf numFmtId="3" fontId="0" fillId="0" borderId="0" xfId="0" applyNumberFormat="1" applyAlignment="1">
      <alignment horizontal="center" vertical="center" wrapText="1"/>
    </xf>
    <xf numFmtId="0" fontId="2" fillId="8" borderId="15" xfId="0" applyFont="1" applyFill="1" applyBorder="1" applyAlignment="1">
      <alignment vertical="center"/>
    </xf>
    <xf numFmtId="0" fontId="0" fillId="8" borderId="16" xfId="0" applyFill="1" applyBorder="1" applyAlignment="1" applyProtection="1">
      <alignment vertical="center"/>
      <protection locked="0"/>
    </xf>
    <xf numFmtId="0" fontId="0" fillId="0" borderId="16" xfId="0" applyBorder="1" applyAlignment="1">
      <alignment vertical="center"/>
    </xf>
    <xf numFmtId="0" fontId="0" fillId="0" borderId="16" xfId="0" applyBorder="1"/>
    <xf numFmtId="43" fontId="0" fillId="0" borderId="16" xfId="1" applyFont="1" applyBorder="1"/>
    <xf numFmtId="0" fontId="0" fillId="0" borderId="17" xfId="0" applyBorder="1"/>
    <xf numFmtId="0" fontId="21" fillId="0" borderId="0" xfId="0" applyFont="1" applyAlignment="1">
      <alignment horizontal="center" vertical="center"/>
    </xf>
    <xf numFmtId="0" fontId="20" fillId="0" borderId="0" xfId="0" applyFont="1" applyAlignment="1">
      <alignment horizontal="center" vertical="center"/>
    </xf>
    <xf numFmtId="0" fontId="18" fillId="0" borderId="0" xfId="0" applyFont="1" applyAlignment="1">
      <alignment horizontal="center" vertical="center"/>
    </xf>
    <xf numFmtId="0" fontId="23" fillId="0" borderId="0" xfId="0" applyFont="1" applyAlignment="1">
      <alignment horizontal="left" vertical="center" wrapText="1"/>
    </xf>
    <xf numFmtId="171" fontId="21" fillId="0" borderId="0" xfId="0" applyNumberFormat="1" applyFont="1" applyAlignment="1">
      <alignment horizontal="center" vertical="center"/>
    </xf>
    <xf numFmtId="0" fontId="22" fillId="0" borderId="0" xfId="0" applyFont="1" applyAlignment="1">
      <alignment horizontal="left" vertical="center" wrapText="1"/>
    </xf>
    <xf numFmtId="0" fontId="19" fillId="0" borderId="0" xfId="0" applyFont="1" applyAlignment="1">
      <alignment horizontal="left" vertical="center" wrapText="1"/>
    </xf>
    <xf numFmtId="0" fontId="0" fillId="12" borderId="0" xfId="0" applyFill="1" applyAlignment="1">
      <alignment horizontal="left" vertical="center" wrapText="1"/>
    </xf>
    <xf numFmtId="0" fontId="2" fillId="11" borderId="13"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7" fillId="5" borderId="21" xfId="0" applyFont="1" applyFill="1" applyBorder="1" applyAlignment="1">
      <alignment horizontal="left" vertical="center" wrapText="1"/>
    </xf>
    <xf numFmtId="0" fontId="17" fillId="5" borderId="22" xfId="0" applyFont="1" applyFill="1" applyBorder="1" applyAlignment="1">
      <alignment horizontal="left" vertical="center" wrapText="1"/>
    </xf>
    <xf numFmtId="0" fontId="17" fillId="5" borderId="23" xfId="0" applyFont="1" applyFill="1" applyBorder="1" applyAlignment="1">
      <alignment horizontal="left" vertical="center" wrapText="1"/>
    </xf>
    <xf numFmtId="0" fontId="17" fillId="5" borderId="19"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4" fillId="5" borderId="28" xfId="0" applyFont="1" applyFill="1" applyBorder="1" applyAlignment="1">
      <alignment horizontal="left" vertical="center" wrapText="1"/>
    </xf>
    <xf numFmtId="0" fontId="4" fillId="5" borderId="10" xfId="0" applyFont="1" applyFill="1" applyBorder="1" applyAlignment="1">
      <alignment horizontal="left" vertical="center" wrapText="1"/>
    </xf>
  </cellXfs>
  <cellStyles count="3">
    <cellStyle name="Comma" xfId="1" builtinId="3"/>
    <cellStyle name="Normal" xfId="0" builtinId="0"/>
    <cellStyle name="Percent" xfId="2" builtinId="5"/>
  </cellStyles>
  <dxfs count="2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F0"/>
      </font>
      <fill>
        <patternFill>
          <bgColor rgb="FFFFFF00"/>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styles" Target="styles.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calcChain" Target="calcChain.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worksheet" Target="worksheets/sheet35.xml"/><Relationship Id="rId40" Type="http://schemas.openxmlformats.org/officeDocument/2006/relationships/sharedStrings" Target="sharedStrings.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8" Type="http://schemas.openxmlformats.org/officeDocument/2006/relationships/worksheet" Target="worksheets/sheet6.xml"/><Relationship Id="rId3" Type="http://schemas.openxmlformats.org/officeDocument/2006/relationships/chartsheet" Target="chartsheets/sheet1.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Flow</a:t>
            </a:r>
            <a:r>
              <a:rPr lang="en-US" b="1" baseline="0">
                <a:latin typeface="Arial" panose="020B0604020202020204" pitchFamily="34" charset="0"/>
                <a:cs typeface="Arial" panose="020B0604020202020204" pitchFamily="34" charset="0"/>
              </a:rPr>
              <a:t> and Velocity</a:t>
            </a:r>
          </a:p>
          <a:p>
            <a:pPr>
              <a:defRPr>
                <a:latin typeface="Arial" panose="020B0604020202020204" pitchFamily="34" charset="0"/>
                <a:cs typeface="Arial" panose="020B0604020202020204" pitchFamily="34" charset="0"/>
              </a:defRPr>
            </a:pPr>
            <a:r>
              <a:rPr lang="en-US" b="1" baseline="0">
                <a:latin typeface="Arial" panose="020B0604020202020204" pitchFamily="34" charset="0"/>
                <a:cs typeface="Arial" panose="020B0604020202020204" pitchFamily="34" charset="0"/>
              </a:rPr>
              <a:t>(This Chart stops at the height of the pipe)</a:t>
            </a:r>
            <a:endParaRPr lang="en-US"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523502743975185E-2"/>
          <c:y val="0.11656976744186048"/>
          <c:w val="0.86464300846223452"/>
          <c:h val="0.72129524325214056"/>
        </c:manualLayout>
      </c:layout>
      <c:scatterChart>
        <c:scatterStyle val="smoothMarker"/>
        <c:varyColors val="0"/>
        <c:ser>
          <c:idx val="1"/>
          <c:order val="1"/>
          <c:tx>
            <c:v>Velocity with gate (ft/sec)</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'Data Table Input'!$A$42:$A$113</c:f>
              <c:numCache>
                <c:formatCode>General</c:formatCode>
                <c:ptCount val="7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numCache>
            </c:numRef>
          </c:xVal>
          <c:yVal>
            <c:numRef>
              <c:f>'Data Table Input'!$C$42:$C$113</c:f>
              <c:numCache>
                <c:formatCode>0.00</c:formatCode>
                <c:ptCount val="72"/>
                <c:pt idx="0">
                  <c:v>1.946406420894238</c:v>
                </c:pt>
                <c:pt idx="1">
                  <c:v>3.0481569789050491</c:v>
                </c:pt>
                <c:pt idx="2">
                  <c:v>2.8087363706834432</c:v>
                </c:pt>
                <c:pt idx="3">
                  <c:v>3.2432493993935574</c:v>
                </c:pt>
                <c:pt idx="4">
                  <c:v>3.626063062514679</c:v>
                </c:pt>
                <c:pt idx="5">
                  <c:v>3.9721530685511102</c:v>
                </c:pt>
                <c:pt idx="6">
                  <c:v>4.2904156752774743</c:v>
                </c:pt>
                <c:pt idx="7">
                  <c:v>4.5866472867807637</c:v>
                </c:pt>
                <c:pt idx="8">
                  <c:v>4.8648740990903345</c:v>
                </c:pt>
                <c:pt idx="9">
                  <c:v>5.1280275610283788</c:v>
                </c:pt>
                <c:pt idx="10">
                  <c:v>5.3783206796669649</c:v>
                </c:pt>
                <c:pt idx="11">
                  <c:v>5.6174727413668863</c:v>
                </c:pt>
                <c:pt idx="12">
                  <c:v>5.8468510043156279</c:v>
                </c:pt>
                <c:pt idx="13">
                  <c:v>6.0675640361955248</c:v>
                </c:pt>
                <c:pt idx="14">
                  <c:v>6.2805254557242272</c:v>
                </c:pt>
                <c:pt idx="15">
                  <c:v>6.4864987987871148</c:v>
                </c:pt>
                <c:pt idx="16">
                  <c:v>6.6861299219603367</c:v>
                </c:pt>
                <c:pt idx="17">
                  <c:v>6.8799709301711438</c:v>
                </c:pt>
                <c:pt idx="18">
                  <c:v>7.0684981903277491</c:v>
                </c:pt>
                <c:pt idx="19">
                  <c:v>7.2521261250293581</c:v>
                </c:pt>
                <c:pt idx="20">
                  <c:v>7.4312179351705208</c:v>
                </c:pt>
                <c:pt idx="21">
                  <c:v>7.6060940479767059</c:v>
                </c:pt>
                <c:pt idx="22">
                  <c:v>7.7770388537883317</c:v>
                </c:pt>
                <c:pt idx="23">
                  <c:v>7.9443061371022203</c:v>
                </c:pt>
                <c:pt idx="24">
                  <c:v>8.1081234984838915</c:v>
                </c:pt>
                <c:pt idx="25">
                  <c:v>8.268695987477912</c:v>
                </c:pt>
                <c:pt idx="26">
                  <c:v>8.4262091120503282</c:v>
                </c:pt>
                <c:pt idx="27">
                  <c:v>8.5808313505549485</c:v>
                </c:pt>
                <c:pt idx="28">
                  <c:v>8.7327162631871484</c:v>
                </c:pt>
                <c:pt idx="29">
                  <c:v>8.882004278314664</c:v>
                </c:pt>
                <c:pt idx="30">
                  <c:v>9.0288242128566587</c:v>
                </c:pt>
                <c:pt idx="31">
                  <c:v>9.1732945735615274</c:v>
                </c:pt>
                <c:pt idx="32">
                  <c:v>9.3155246765815622</c:v>
                </c:pt>
                <c:pt idx="33">
                  <c:v>9.4556156154248718</c:v>
                </c:pt>
                <c:pt idx="34">
                  <c:v>9.5936611016510955</c:v>
                </c:pt>
                <c:pt idx="35">
                  <c:v>9.729748198180669</c:v>
                </c:pt>
                <c:pt idx="36" formatCode="General">
                  <c:v>9.8639579615216668</c:v>
                </c:pt>
                <c:pt idx="37" formatCode="General">
                  <c:v>9.996366006371181</c:v>
                </c:pt>
                <c:pt idx="38" formatCode="General">
                  <c:v>10.127043003759784</c:v>
                </c:pt>
                <c:pt idx="39" formatCode="General">
                  <c:v>10.256055122056758</c:v>
                </c:pt>
                <c:pt idx="40" formatCode="General">
                  <c:v>10.383464418648206</c:v>
                </c:pt>
                <c:pt idx="41" formatCode="General">
                  <c:v>10.509329188868337</c:v>
                </c:pt>
                <c:pt idx="42" formatCode="General">
                  <c:v>10.633704277751319</c:v>
                </c:pt>
                <c:pt idx="43" formatCode="General">
                  <c:v>10.75664135933393</c:v>
                </c:pt>
                <c:pt idx="44" formatCode="General">
                  <c:v>10.878189187544038</c:v>
                </c:pt>
                <c:pt idx="45" formatCode="General">
                  <c:v>10.998393822129971</c:v>
                </c:pt>
                <c:pt idx="46" formatCode="General">
                  <c:v>11.117298832600181</c:v>
                </c:pt>
                <c:pt idx="47" formatCode="General">
                  <c:v>11.234945482733774</c:v>
                </c:pt>
                <c:pt idx="48" formatCode="General">
                  <c:v>11.35137289787745</c:v>
                </c:pt>
                <c:pt idx="49" formatCode="General">
                  <c:v>11.466618216951908</c:v>
                </c:pt>
                <c:pt idx="50" formatCode="General">
                  <c:v>11.580716730841838</c:v>
                </c:pt>
                <c:pt idx="51" formatCode="General">
                  <c:v>11.693702008631254</c:v>
                </c:pt>
                <c:pt idx="52" formatCode="General">
                  <c:v>11.805606012964068</c:v>
                </c:pt>
                <c:pt idx="53" formatCode="General">
                  <c:v>11.91645920565333</c:v>
                </c:pt>
                <c:pt idx="54" formatCode="General">
                  <c:v>12.026290644528208</c:v>
                </c:pt>
                <c:pt idx="55" formatCode="General">
                  <c:v>12.13512807239105</c:v>
                </c:pt>
                <c:pt idx="56" formatCode="General">
                  <c:v>12.242997998856326</c:v>
                </c:pt>
                <c:pt idx="57" formatCode="General">
                  <c:v>12.349925775755361</c:v>
                </c:pt>
                <c:pt idx="58" formatCode="General">
                  <c:v>12.455935666714616</c:v>
                </c:pt>
                <c:pt idx="59" formatCode="General">
                  <c:v>12.561050911448453</c:v>
                </c:pt>
                <c:pt idx="60" formatCode="General">
                  <c:v>12.66529378524899</c:v>
                </c:pt>
                <c:pt idx="61" formatCode="General">
                  <c:v>12.768685654104472</c:v>
                </c:pt>
                <c:pt idx="62" formatCode="General">
                  <c:v>12.871247025832425</c:v>
                </c:pt>
                <c:pt idx="63" formatCode="General">
                  <c:v>12.972997597574228</c:v>
                </c:pt>
                <c:pt idx="64" formatCode="General">
                  <c:v>13.073956299962662</c:v>
                </c:pt>
                <c:pt idx="65" formatCode="General">
                  <c:v>13.174141338242885</c:v>
                </c:pt>
                <c:pt idx="66" formatCode="General">
                  <c:v>13.273570230599855</c:v>
                </c:pt>
                <c:pt idx="67" formatCode="General">
                  <c:v>13.372259843920673</c:v>
                </c:pt>
                <c:pt idx="68" formatCode="General">
                  <c:v>13.470226427198615</c:v>
                </c:pt>
                <c:pt idx="69" formatCode="General">
                  <c:v>13.567485642766188</c:v>
                </c:pt>
                <c:pt idx="70" formatCode="General">
                  <c:v>13.66405259552719</c:v>
                </c:pt>
                <c:pt idx="71" formatCode="General">
                  <c:v>13.759941860342288</c:v>
                </c:pt>
              </c:numCache>
            </c:numRef>
          </c:yVal>
          <c:smooth val="1"/>
          <c:extLst>
            <c:ext xmlns:c16="http://schemas.microsoft.com/office/drawing/2014/chart" uri="{C3380CC4-5D6E-409C-BE32-E72D297353CC}">
              <c16:uniqueId val="{00000000-5A14-4117-814B-F2A6C467F0FE}"/>
            </c:ext>
          </c:extLst>
        </c:ser>
        <c:ser>
          <c:idx val="2"/>
          <c:order val="3"/>
          <c:tx>
            <c:v>Velocity without gate (ft/sec)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'Data Table Mannings (2)'!$A$35:$A$274</c:f>
              <c:numCache>
                <c:formatCode>0.00</c:formatCode>
                <c:ptCount val="2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xVal>
          <c:yVal>
            <c:numRef>
              <c:f>'Data Table Mannings (2)'!$C$35:$C$274</c:f>
              <c:numCache>
                <c:formatCode>0.00</c:formatCode>
                <c:ptCount val="240"/>
                <c:pt idx="0">
                  <c:v>1.946406420894238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numCache>
            </c:numRef>
          </c:yVal>
          <c:smooth val="1"/>
          <c:extLst>
            <c:ext xmlns:c16="http://schemas.microsoft.com/office/drawing/2014/chart" uri="{C3380CC4-5D6E-409C-BE32-E72D297353CC}">
              <c16:uniqueId val="{00000001-5A14-4117-814B-F2A6C467F0FE}"/>
            </c:ext>
          </c:extLst>
        </c:ser>
        <c:ser>
          <c:idx val="5"/>
          <c:order val="4"/>
          <c:tx>
            <c:v>Gate Opens</c:v>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dLbls>
            <c:spPr>
              <a:solidFill>
                <a:schemeClr val="accent2">
                  <a:lumMod val="60000"/>
                  <a:lumOff val="4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downArrowCallout">
                    <a:avLst/>
                  </a:prstGeom>
                  <a:noFill/>
                  <a:ln>
                    <a:noFill/>
                  </a:ln>
                </c15:spPr>
                <c15:showLeaderLines val="0"/>
              </c:ext>
            </c:extLst>
          </c:dLbls>
          <c:errBars>
            <c:errDir val="x"/>
            <c:errBarType val="both"/>
            <c:errValType val="percentage"/>
            <c:noEndCap val="1"/>
            <c:val val="0"/>
            <c:spPr>
              <a:noFill/>
              <a:ln w="9525" cap="flat" cmpd="sng" algn="ctr">
                <a:solidFill>
                  <a:schemeClr val="tx1">
                    <a:lumMod val="65000"/>
                    <a:lumOff val="35000"/>
                  </a:schemeClr>
                </a:solidFill>
                <a:round/>
              </a:ln>
              <a:effectLst/>
            </c:spPr>
          </c:errBars>
          <c:errBars>
            <c:errDir val="y"/>
            <c:errBarType val="minus"/>
            <c:errValType val="percentage"/>
            <c:noEndCap val="1"/>
            <c:val val="100"/>
            <c:spPr>
              <a:noFill/>
              <a:ln w="9525" cap="flat" cmpd="sng" algn="ctr">
                <a:solidFill>
                  <a:schemeClr val="tx1">
                    <a:lumMod val="65000"/>
                    <a:lumOff val="35000"/>
                  </a:schemeClr>
                </a:solidFill>
                <a:round/>
              </a:ln>
              <a:effectLst/>
            </c:spPr>
          </c:errBars>
          <c:xVal>
            <c:numRef>
              <c:f>'Data Table Input'!$J$42</c:f>
              <c:numCache>
                <c:formatCode>0</c:formatCode>
                <c:ptCount val="1"/>
                <c:pt idx="0">
                  <c:v>44</c:v>
                </c:pt>
              </c:numCache>
            </c:numRef>
          </c:xVal>
          <c:yVal>
            <c:numRef>
              <c:f>'Data Table Input'!$K$42</c:f>
              <c:numCache>
                <c:formatCode>General</c:formatCode>
                <c:ptCount val="1"/>
                <c:pt idx="0">
                  <c:v>16</c:v>
                </c:pt>
              </c:numCache>
            </c:numRef>
          </c:yVal>
          <c:smooth val="1"/>
          <c:extLst>
            <c:ext xmlns:c16="http://schemas.microsoft.com/office/drawing/2014/chart" uri="{C3380CC4-5D6E-409C-BE32-E72D297353CC}">
              <c16:uniqueId val="{00000002-5A14-4117-814B-F2A6C467F0FE}"/>
            </c:ext>
          </c:extLst>
        </c:ser>
        <c:ser>
          <c:idx val="6"/>
          <c:order val="6"/>
          <c:tx>
            <c:v> Critical Velocity (fps)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dLbl>
              <c:idx val="0"/>
              <c:layout>
                <c:manualLayout>
                  <c:x val="-8.8218663734997618E-3"/>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A14-4117-814B-F2A6C467F0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minus"/>
            <c:errValType val="percentage"/>
            <c:noEndCap val="1"/>
            <c:val val="100"/>
            <c:spPr>
              <a:noFill/>
              <a:ln w="19050" cap="flat" cmpd="sng" algn="ctr">
                <a:solidFill>
                  <a:schemeClr val="accent1">
                    <a:lumMod val="75000"/>
                  </a:schemeClr>
                </a:solidFill>
                <a:round/>
              </a:ln>
              <a:effectLst/>
            </c:spPr>
          </c:errBars>
          <c:errBars>
            <c:errDir val="y"/>
            <c:errBarType val="both"/>
            <c:errValType val="percentage"/>
            <c:noEndCap val="1"/>
            <c:val val="0"/>
            <c:spPr>
              <a:noFill/>
              <a:ln w="9525" cap="flat" cmpd="sng" algn="ctr">
                <a:solidFill>
                  <a:schemeClr val="tx1">
                    <a:lumMod val="65000"/>
                    <a:lumOff val="35000"/>
                  </a:schemeClr>
                </a:solidFill>
                <a:round/>
              </a:ln>
              <a:effectLst/>
            </c:spPr>
          </c:errBars>
          <c:xVal>
            <c:numRef>
              <c:f>'Data Table Input'!$J$44</c:f>
              <c:numCache>
                <c:formatCode>General</c:formatCode>
                <c:ptCount val="1"/>
                <c:pt idx="0">
                  <c:v>80</c:v>
                </c:pt>
              </c:numCache>
            </c:numRef>
          </c:xVal>
          <c:yVal>
            <c:numRef>
              <c:f>'Data Table Input'!$K$44</c:f>
              <c:numCache>
                <c:formatCode>General</c:formatCode>
                <c:ptCount val="1"/>
                <c:pt idx="0">
                  <c:v>0</c:v>
                </c:pt>
              </c:numCache>
            </c:numRef>
          </c:yVal>
          <c:smooth val="1"/>
          <c:extLst>
            <c:ext xmlns:c16="http://schemas.microsoft.com/office/drawing/2014/chart" uri="{C3380CC4-5D6E-409C-BE32-E72D297353CC}">
              <c16:uniqueId val="{00000003-5A14-4117-814B-F2A6C467F0FE}"/>
            </c:ext>
          </c:extLst>
        </c:ser>
        <c:dLbls>
          <c:showLegendKey val="0"/>
          <c:showVal val="0"/>
          <c:showCatName val="0"/>
          <c:showSerName val="0"/>
          <c:showPercent val="0"/>
          <c:showBubbleSize val="0"/>
        </c:dLbls>
        <c:axId val="783867328"/>
        <c:axId val="783868312"/>
      </c:scatterChart>
      <c:scatterChart>
        <c:scatterStyle val="smoothMarker"/>
        <c:varyColors val="0"/>
        <c:ser>
          <c:idx val="0"/>
          <c:order val="0"/>
          <c:tx>
            <c:v>Flow Rate with gate (cfs)</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'Data Table Input'!$A$42:$A$113</c:f>
              <c:numCache>
                <c:formatCode>General</c:formatCode>
                <c:ptCount val="7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numCache>
            </c:numRef>
          </c:xVal>
          <c:yVal>
            <c:numRef>
              <c:f>'Data Table Input'!$B$42:$B$113</c:f>
              <c:numCache>
                <c:formatCode>0.00</c:formatCode>
                <c:ptCount val="72"/>
                <c:pt idx="0">
                  <c:v>8.7178805822423946E-2</c:v>
                </c:pt>
                <c:pt idx="1">
                  <c:v>0.38115133768669596</c:v>
                </c:pt>
                <c:pt idx="2">
                  <c:v>0.63661660532760866</c:v>
                </c:pt>
                <c:pt idx="3">
                  <c:v>0.73510153691296132</c:v>
                </c:pt>
                <c:pt idx="4">
                  <c:v>0.82186850345097606</c:v>
                </c:pt>
                <c:pt idx="5">
                  <c:v>0.9003118372862241</c:v>
                </c:pt>
                <c:pt idx="6">
                  <c:v>0.97244792752653131</c:v>
                </c:pt>
                <c:pt idx="7">
                  <c:v>1.0395905632236162</c:v>
                </c:pt>
                <c:pt idx="8">
                  <c:v>1.1026523053694417</c:v>
                </c:pt>
                <c:pt idx="9">
                  <c:v>1.1622975840676493</c:v>
                </c:pt>
                <c:pt idx="10">
                  <c:v>1.219027990376941</c:v>
                </c:pt>
                <c:pt idx="11">
                  <c:v>1.2732332106552173</c:v>
                </c:pt>
                <c:pt idx="12">
                  <c:v>1.325223142006033</c:v>
                </c:pt>
                <c:pt idx="13">
                  <c:v>1.3752490478096291</c:v>
                </c:pt>
                <c:pt idx="14">
                  <c:v>1.4235180051176879</c:v>
                </c:pt>
                <c:pt idx="15">
                  <c:v>1.4702030738259226</c:v>
                </c:pt>
                <c:pt idx="16">
                  <c:v>1.5154506411230095</c:v>
                </c:pt>
                <c:pt idx="17">
                  <c:v>1.5593858448354241</c:v>
                </c:pt>
                <c:pt idx="18">
                  <c:v>1.602116656322516</c:v>
                </c:pt>
                <c:pt idx="19">
                  <c:v>1.6437370069019521</c:v>
                </c:pt>
                <c:pt idx="20">
                  <c:v>1.6843292181910099</c:v>
                </c:pt>
                <c:pt idx="21">
                  <c:v>1.7239659169034889</c:v>
                </c:pt>
                <c:pt idx="22">
                  <c:v>1.762711561781404</c:v>
                </c:pt>
                <c:pt idx="23">
                  <c:v>1.8006236745724482</c:v>
                </c:pt>
                <c:pt idx="24">
                  <c:v>1.8377538422824031</c:v>
                </c:pt>
                <c:pt idx="25">
                  <c:v>1.874148540595618</c:v>
                </c:pt>
                <c:pt idx="26">
                  <c:v>1.9098498159828259</c:v>
                </c:pt>
                <c:pt idx="27">
                  <c:v>1.9448958550530626</c:v>
                </c:pt>
                <c:pt idx="28">
                  <c:v>1.9793214631270819</c:v>
                </c:pt>
                <c:pt idx="29">
                  <c:v>2.0131584691197268</c:v>
                </c:pt>
                <c:pt idx="30">
                  <c:v>2.0464360701427817</c:v>
                </c:pt>
                <c:pt idx="31">
                  <c:v>2.0791811264472324</c:v>
                </c:pt>
                <c:pt idx="32">
                  <c:v>2.1114184151814466</c:v>
                </c:pt>
                <c:pt idx="33">
                  <c:v>2.1431708497831621</c:v>
                </c:pt>
                <c:pt idx="34">
                  <c:v>2.1744596705281127</c:v>
                </c:pt>
                <c:pt idx="35">
                  <c:v>2.2053046107388834</c:v>
                </c:pt>
                <c:pt idx="36">
                  <c:v>2.2357240423493971</c:v>
                </c:pt>
                <c:pt idx="37">
                  <c:v>2.2657351038751368</c:v>
                </c:pt>
                <c:pt idx="38">
                  <c:v>2.2953538133205145</c:v>
                </c:pt>
                <c:pt idx="39">
                  <c:v>2.3245951681352985</c:v>
                </c:pt>
                <c:pt idx="40">
                  <c:v>2.3534732339907598</c:v>
                </c:pt>
                <c:pt idx="41">
                  <c:v>2.3820012238669981</c:v>
                </c:pt>
                <c:pt idx="42">
                  <c:v>2.4101915687133308</c:v>
                </c:pt>
                <c:pt idx="43">
                  <c:v>2.438055980753882</c:v>
                </c:pt>
                <c:pt idx="44">
                  <c:v>34.174839235948269</c:v>
                </c:pt>
                <c:pt idx="45">
                  <c:v>34.552473232890883</c:v>
                </c:pt>
                <c:pt idx="46">
                  <c:v>34.926024340259112</c:v>
                </c:pt>
                <c:pt idx="47">
                  <c:v>35.295622192038259</c:v>
                </c:pt>
                <c:pt idx="48">
                  <c:v>35.66138970413008</c:v>
                </c:pt>
                <c:pt idx="49">
                  <c:v>36.023443551895006</c:v>
                </c:pt>
                <c:pt idx="50">
                  <c:v>36.381894604917122</c:v>
                </c:pt>
                <c:pt idx="51">
                  <c:v>36.736848323584155</c:v>
                </c:pt>
                <c:pt idx="52">
                  <c:v>37.088405121503406</c:v>
                </c:pt>
                <c:pt idx="53">
                  <c:v>37.436660697282967</c:v>
                </c:pt>
                <c:pt idx="54">
                  <c:v>37.781706338785476</c:v>
                </c:pt>
                <c:pt idx="55">
                  <c:v>38.123629202594991</c:v>
                </c:pt>
                <c:pt idx="56">
                  <c:v>38.462512571121572</c:v>
                </c:pt>
                <c:pt idx="57">
                  <c:v>38.79843608949227</c:v>
                </c:pt>
                <c:pt idx="58">
                  <c:v>39.131475984137722</c:v>
                </c:pt>
                <c:pt idx="59">
                  <c:v>39.461705264773833</c:v>
                </c:pt>
                <c:pt idx="60">
                  <c:v>39.789193911294689</c:v>
                </c:pt>
                <c:pt idx="61">
                  <c:v>40.11400904693199</c:v>
                </c:pt>
                <c:pt idx="62">
                  <c:v>40.436215098894621</c:v>
                </c:pt>
                <c:pt idx="63">
                  <c:v>40.755873947577228</c:v>
                </c:pt>
                <c:pt idx="64">
                  <c:v>41.073045065316691</c:v>
                </c:pt>
                <c:pt idx="65">
                  <c:v>41.387785645577452</c:v>
                </c:pt>
                <c:pt idx="66">
                  <c:v>41.700150723360679</c:v>
                </c:pt>
                <c:pt idx="67">
                  <c:v>42.010193287554983</c:v>
                </c:pt>
                <c:pt idx="68">
                  <c:v>42.317964385878255</c:v>
                </c:pt>
                <c:pt idx="69">
                  <c:v>42.62351322299925</c:v>
                </c:pt>
                <c:pt idx="70">
                  <c:v>42.926887252372765</c:v>
                </c:pt>
                <c:pt idx="71">
                  <c:v>43.228132262274002</c:v>
                </c:pt>
              </c:numCache>
            </c:numRef>
          </c:yVal>
          <c:smooth val="1"/>
          <c:extLst>
            <c:ext xmlns:c16="http://schemas.microsoft.com/office/drawing/2014/chart" uri="{C3380CC4-5D6E-409C-BE32-E72D297353CC}">
              <c16:uniqueId val="{00000004-5A14-4117-814B-F2A6C467F0FE}"/>
            </c:ext>
          </c:extLst>
        </c:ser>
        <c:ser>
          <c:idx val="3"/>
          <c:order val="2"/>
          <c:tx>
            <c:v>Flow Rate without gate (cfs)</c:v>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'Data Table Mannings (2)'!$A$35:$A$274</c:f>
              <c:numCache>
                <c:formatCode>0.00</c:formatCode>
                <c:ptCount val="2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xVal>
          <c:yVal>
            <c:numRef>
              <c:f>'Data Table Mannings (2)'!$B$35:$B$274</c:f>
              <c:numCache>
                <c:formatCode>0.00</c:formatCode>
                <c:ptCount val="240"/>
                <c:pt idx="0">
                  <c:v>8.7178805822423946E-2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numCache>
            </c:numRef>
          </c:yVal>
          <c:smooth val="1"/>
          <c:extLst>
            <c:ext xmlns:c16="http://schemas.microsoft.com/office/drawing/2014/chart" uri="{C3380CC4-5D6E-409C-BE32-E72D297353CC}">
              <c16:uniqueId val="{00000005-5A14-4117-814B-F2A6C467F0FE}"/>
            </c:ext>
          </c:extLst>
        </c:ser>
        <c:ser>
          <c:idx val="4"/>
          <c:order val="5"/>
          <c:tx>
            <c:v>Critical Flow (cfs)</c:v>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minus"/>
            <c:errValType val="percentage"/>
            <c:noEndCap val="1"/>
            <c:val val="100"/>
            <c:spPr>
              <a:noFill/>
              <a:ln w="25400" cap="flat" cmpd="sng" algn="ctr">
                <a:solidFill>
                  <a:schemeClr val="accent6">
                    <a:lumMod val="60000"/>
                    <a:lumOff val="40000"/>
                  </a:schemeClr>
                </a:solidFill>
                <a:round/>
              </a:ln>
              <a:effectLst/>
            </c:spPr>
          </c:errBars>
          <c:errBars>
            <c:errDir val="y"/>
            <c:errBarType val="both"/>
            <c:errValType val="percentage"/>
            <c:noEndCap val="0"/>
            <c:val val="5"/>
            <c:spPr>
              <a:noFill/>
              <a:ln w="9525" cap="flat" cmpd="sng" algn="ctr">
                <a:solidFill>
                  <a:schemeClr val="tx1">
                    <a:lumMod val="65000"/>
                    <a:lumOff val="35000"/>
                  </a:schemeClr>
                </a:solidFill>
                <a:round/>
              </a:ln>
              <a:effectLst/>
            </c:spPr>
          </c:errBars>
          <c:xVal>
            <c:numRef>
              <c:f>'Data Table Input'!$J$43</c:f>
              <c:numCache>
                <c:formatCode>General</c:formatCode>
                <c:ptCount val="1"/>
                <c:pt idx="0">
                  <c:v>80</c:v>
                </c:pt>
              </c:numCache>
            </c:numRef>
          </c:xVal>
          <c:yVal>
            <c:numRef>
              <c:f>'Data Table Input'!$K$43</c:f>
              <c:numCache>
                <c:formatCode>General</c:formatCode>
                <c:ptCount val="1"/>
                <c:pt idx="0">
                  <c:v>2.5</c:v>
                </c:pt>
              </c:numCache>
            </c:numRef>
          </c:yVal>
          <c:smooth val="1"/>
          <c:extLst>
            <c:ext xmlns:c16="http://schemas.microsoft.com/office/drawing/2014/chart" uri="{C3380CC4-5D6E-409C-BE32-E72D297353CC}">
              <c16:uniqueId val="{00000006-5A14-4117-814B-F2A6C467F0FE}"/>
            </c:ext>
          </c:extLst>
        </c:ser>
        <c:dLbls>
          <c:showLegendKey val="0"/>
          <c:showVal val="0"/>
          <c:showCatName val="0"/>
          <c:showSerName val="0"/>
          <c:showPercent val="0"/>
          <c:showBubbleSize val="0"/>
        </c:dLbls>
        <c:axId val="778258280"/>
        <c:axId val="778252704"/>
      </c:scatterChart>
      <c:valAx>
        <c:axId val="7838673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Height of Water (inches)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868312"/>
        <c:crosses val="autoZero"/>
        <c:crossBetween val="midCat"/>
      </c:valAx>
      <c:valAx>
        <c:axId val="783868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Velocity (fps)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solidFill>
            <a:schemeClr val="accent4">
              <a:lumMod val="60000"/>
              <a:lumOff val="40000"/>
            </a:schemeClr>
          </a:solid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867328"/>
        <c:crosses val="autoZero"/>
        <c:crossBetween val="midCat"/>
      </c:valAx>
      <c:valAx>
        <c:axId val="778252704"/>
        <c:scaling>
          <c:orientation val="minMax"/>
          <c:min val="0"/>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Flow Rate (cfs)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accent6">
                <a:lumMod val="75000"/>
              </a:schemeClr>
            </a:solidFill>
            <a:round/>
          </a:ln>
          <a:effectLst/>
        </c:spPr>
        <c:txPr>
          <a:bodyPr rot="-60000000" spcFirstLastPara="1" vertOverflow="ellipsis" vert="horz" wrap="square" anchor="ctr" anchorCtr="1"/>
          <a:lstStyle/>
          <a:p>
            <a:pPr>
              <a:defRPr sz="900" b="0" i="0" u="none" strike="noStrike" kern="1200" baseline="0">
                <a:solidFill>
                  <a:schemeClr val="accent6">
                    <a:lumMod val="75000"/>
                  </a:schemeClr>
                </a:solidFill>
                <a:latin typeface="+mn-lt"/>
                <a:ea typeface="+mn-ea"/>
                <a:cs typeface="+mn-cs"/>
              </a:defRPr>
            </a:pPr>
            <a:endParaRPr lang="en-US"/>
          </a:p>
        </c:txPr>
        <c:crossAx val="778258280"/>
        <c:crosses val="max"/>
        <c:crossBetween val="midCat"/>
      </c:valAx>
      <c:valAx>
        <c:axId val="778258280"/>
        <c:scaling>
          <c:orientation val="minMax"/>
        </c:scaling>
        <c:delete val="1"/>
        <c:axPos val="b"/>
        <c:numFmt formatCode="General" sourceLinked="1"/>
        <c:majorTickMark val="out"/>
        <c:minorTickMark val="none"/>
        <c:tickLblPos val="nextTo"/>
        <c:crossAx val="778252704"/>
        <c:crosses val="autoZero"/>
        <c:crossBetween val="midCat"/>
      </c:valAx>
      <c:spPr>
        <a:noFill/>
        <a:ln>
          <a:noFill/>
        </a:ln>
        <a:effectLst/>
      </c:spPr>
    </c:plotArea>
    <c:legend>
      <c:legendPos val="r"/>
      <c:legendEntry>
        <c:idx val="2"/>
        <c:delete val="1"/>
      </c:legendEntry>
      <c:legendEntry>
        <c:idx val="6"/>
        <c:delete val="1"/>
      </c:legendEntry>
      <c:layout>
        <c:manualLayout>
          <c:xMode val="edge"/>
          <c:yMode val="edge"/>
          <c:x val="0.61423024593510167"/>
          <c:y val="0.44119501322069132"/>
          <c:w val="0.20060187088020179"/>
          <c:h val="0.17057594073291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7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Flow</a:t>
            </a:r>
            <a:r>
              <a:rPr lang="en-US" b="1" baseline="0">
                <a:latin typeface="Arial" panose="020B0604020202020204" pitchFamily="34" charset="0"/>
                <a:cs typeface="Arial" panose="020B0604020202020204" pitchFamily="34" charset="0"/>
              </a:rPr>
              <a:t> and Velocity</a:t>
            </a:r>
            <a:endParaRPr lang="en-US"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523502743975185E-2"/>
          <c:y val="0.11656976744186048"/>
          <c:w val="0.86464300846223452"/>
          <c:h val="0.72129524325214056"/>
        </c:manualLayout>
      </c:layout>
      <c:scatterChart>
        <c:scatterStyle val="smoothMarker"/>
        <c:varyColors val="0"/>
        <c:ser>
          <c:idx val="1"/>
          <c:order val="1"/>
          <c:tx>
            <c:v>Velocity with gate (ft/sec)</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'Data Table Input'!$A$42:$A$281</c:f>
              <c:numCache>
                <c:formatCode>General</c:formatCode>
                <c:ptCount val="2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numCache>
            </c:numRef>
          </c:xVal>
          <c:yVal>
            <c:numRef>
              <c:f>'Data Table Input'!$C$42:$C$281</c:f>
              <c:numCache>
                <c:formatCode>0.00</c:formatCode>
                <c:ptCount val="240"/>
                <c:pt idx="0">
                  <c:v>1.946406420894238</c:v>
                </c:pt>
                <c:pt idx="1">
                  <c:v>3.0481569789050491</c:v>
                </c:pt>
                <c:pt idx="2">
                  <c:v>2.8087363706834432</c:v>
                </c:pt>
                <c:pt idx="3">
                  <c:v>3.2432493993935574</c:v>
                </c:pt>
                <c:pt idx="4">
                  <c:v>3.626063062514679</c:v>
                </c:pt>
                <c:pt idx="5">
                  <c:v>3.9721530685511102</c:v>
                </c:pt>
                <c:pt idx="6">
                  <c:v>4.2904156752774743</c:v>
                </c:pt>
                <c:pt idx="7">
                  <c:v>4.5866472867807637</c:v>
                </c:pt>
                <c:pt idx="8">
                  <c:v>4.8648740990903345</c:v>
                </c:pt>
                <c:pt idx="9">
                  <c:v>5.1280275610283788</c:v>
                </c:pt>
                <c:pt idx="10">
                  <c:v>5.3783206796669649</c:v>
                </c:pt>
                <c:pt idx="11">
                  <c:v>5.6174727413668863</c:v>
                </c:pt>
                <c:pt idx="12">
                  <c:v>5.8468510043156279</c:v>
                </c:pt>
                <c:pt idx="13">
                  <c:v>6.0675640361955248</c:v>
                </c:pt>
                <c:pt idx="14">
                  <c:v>6.2805254557242272</c:v>
                </c:pt>
                <c:pt idx="15">
                  <c:v>6.4864987987871148</c:v>
                </c:pt>
                <c:pt idx="16">
                  <c:v>6.6861299219603367</c:v>
                </c:pt>
                <c:pt idx="17">
                  <c:v>6.8799709301711438</c:v>
                </c:pt>
                <c:pt idx="18">
                  <c:v>7.0684981903277491</c:v>
                </c:pt>
                <c:pt idx="19">
                  <c:v>7.2521261250293581</c:v>
                </c:pt>
                <c:pt idx="20">
                  <c:v>7.4312179351705208</c:v>
                </c:pt>
                <c:pt idx="21">
                  <c:v>7.6060940479767059</c:v>
                </c:pt>
                <c:pt idx="22">
                  <c:v>7.7770388537883317</c:v>
                </c:pt>
                <c:pt idx="23">
                  <c:v>7.9443061371022203</c:v>
                </c:pt>
                <c:pt idx="24">
                  <c:v>8.1081234984838915</c:v>
                </c:pt>
                <c:pt idx="25">
                  <c:v>8.268695987477912</c:v>
                </c:pt>
                <c:pt idx="26">
                  <c:v>8.4262091120503282</c:v>
                </c:pt>
                <c:pt idx="27">
                  <c:v>8.5808313505549485</c:v>
                </c:pt>
                <c:pt idx="28">
                  <c:v>8.7327162631871484</c:v>
                </c:pt>
                <c:pt idx="29">
                  <c:v>8.882004278314664</c:v>
                </c:pt>
                <c:pt idx="30">
                  <c:v>9.0288242128566587</c:v>
                </c:pt>
                <c:pt idx="31">
                  <c:v>9.1732945735615274</c:v>
                </c:pt>
                <c:pt idx="32">
                  <c:v>9.3155246765815622</c:v>
                </c:pt>
                <c:pt idx="33">
                  <c:v>9.4556156154248718</c:v>
                </c:pt>
                <c:pt idx="34">
                  <c:v>9.5936611016510955</c:v>
                </c:pt>
                <c:pt idx="35">
                  <c:v>9.729748198180669</c:v>
                </c:pt>
                <c:pt idx="36" formatCode="General">
                  <c:v>9.8639579615216668</c:v>
                </c:pt>
                <c:pt idx="37" formatCode="General">
                  <c:v>9.996366006371181</c:v>
                </c:pt>
                <c:pt idx="38" formatCode="General">
                  <c:v>10.127043003759784</c:v>
                </c:pt>
                <c:pt idx="39" formatCode="General">
                  <c:v>10.256055122056758</c:v>
                </c:pt>
                <c:pt idx="40" formatCode="General">
                  <c:v>10.383464418648206</c:v>
                </c:pt>
                <c:pt idx="41" formatCode="General">
                  <c:v>10.509329188868337</c:v>
                </c:pt>
                <c:pt idx="42" formatCode="General">
                  <c:v>10.633704277751319</c:v>
                </c:pt>
                <c:pt idx="43" formatCode="General">
                  <c:v>10.75664135933393</c:v>
                </c:pt>
                <c:pt idx="44" formatCode="General">
                  <c:v>10.878189187544038</c:v>
                </c:pt>
                <c:pt idx="45" formatCode="General">
                  <c:v>10.998393822129971</c:v>
                </c:pt>
                <c:pt idx="46" formatCode="General">
                  <c:v>11.117298832600181</c:v>
                </c:pt>
                <c:pt idx="47" formatCode="General">
                  <c:v>11.234945482733774</c:v>
                </c:pt>
                <c:pt idx="48" formatCode="General">
                  <c:v>11.35137289787745</c:v>
                </c:pt>
                <c:pt idx="49" formatCode="General">
                  <c:v>11.466618216951908</c:v>
                </c:pt>
                <c:pt idx="50" formatCode="General">
                  <c:v>11.580716730841838</c:v>
                </c:pt>
                <c:pt idx="51" formatCode="General">
                  <c:v>11.693702008631254</c:v>
                </c:pt>
                <c:pt idx="52" formatCode="General">
                  <c:v>11.805606012964068</c:v>
                </c:pt>
                <c:pt idx="53" formatCode="General">
                  <c:v>11.91645920565333</c:v>
                </c:pt>
                <c:pt idx="54" formatCode="General">
                  <c:v>12.026290644528208</c:v>
                </c:pt>
                <c:pt idx="55" formatCode="General">
                  <c:v>12.13512807239105</c:v>
                </c:pt>
                <c:pt idx="56" formatCode="General">
                  <c:v>12.242997998856326</c:v>
                </c:pt>
                <c:pt idx="57" formatCode="General">
                  <c:v>12.349925775755361</c:v>
                </c:pt>
                <c:pt idx="58" formatCode="General">
                  <c:v>12.455935666714616</c:v>
                </c:pt>
                <c:pt idx="59" formatCode="General">
                  <c:v>12.561050911448453</c:v>
                </c:pt>
                <c:pt idx="60" formatCode="General">
                  <c:v>12.66529378524899</c:v>
                </c:pt>
                <c:pt idx="61" formatCode="General">
                  <c:v>12.768685654104472</c:v>
                </c:pt>
                <c:pt idx="62" formatCode="General">
                  <c:v>12.871247025832425</c:v>
                </c:pt>
                <c:pt idx="63" formatCode="General">
                  <c:v>12.972997597574228</c:v>
                </c:pt>
                <c:pt idx="64" formatCode="General">
                  <c:v>13.073956299962662</c:v>
                </c:pt>
                <c:pt idx="65" formatCode="General">
                  <c:v>13.174141338242885</c:v>
                </c:pt>
                <c:pt idx="66" formatCode="General">
                  <c:v>13.273570230599855</c:v>
                </c:pt>
                <c:pt idx="67" formatCode="General">
                  <c:v>13.372259843920673</c:v>
                </c:pt>
                <c:pt idx="68" formatCode="General">
                  <c:v>13.470226427198615</c:v>
                </c:pt>
                <c:pt idx="69" formatCode="General">
                  <c:v>13.567485642766188</c:v>
                </c:pt>
                <c:pt idx="70" formatCode="General">
                  <c:v>13.66405259552719</c:v>
                </c:pt>
                <c:pt idx="71" formatCode="General">
                  <c:v>13.759941860342288</c:v>
                </c:pt>
                <c:pt idx="72" formatCode="General">
                  <c:v>13.855167507708693</c:v>
                </c:pt>
                <c:pt idx="73" formatCode="General">
                  <c:v>13.949743127862009</c:v>
                </c:pt>
                <c:pt idx="74" formatCode="General">
                  <c:v>14.043681853417217</c:v>
                </c:pt>
                <c:pt idx="75" formatCode="General">
                  <c:v>14.136996380655498</c:v>
                </c:pt>
                <c:pt idx="76" formatCode="General">
                  <c:v>14.229698989554674</c:v>
                </c:pt>
                <c:pt idx="77" formatCode="General">
                  <c:v>14.321801562652656</c:v>
                </c:pt>
                <c:pt idx="78" formatCode="General">
                  <c:v>14.413315602825975</c:v>
                </c:pt>
                <c:pt idx="79" formatCode="General">
                  <c:v>14.504252250058716</c:v>
                </c:pt>
                <c:pt idx="80" formatCode="General">
                  <c:v>14.594622297271007</c:v>
                </c:pt>
                <c:pt idx="81" formatCode="General">
                  <c:v>14.684436205270758</c:v>
                </c:pt>
                <c:pt idx="82" formatCode="General">
                  <c:v>14.773704116887322</c:v>
                </c:pt>
                <c:pt idx="83" formatCode="General">
                  <c:v>14.862435870341042</c:v>
                </c:pt>
                <c:pt idx="84" formatCode="General">
                  <c:v>14.950641011898675</c:v>
                </c:pt>
                <c:pt idx="85" formatCode="General">
                  <c:v>15.038328807860712</c:v>
                </c:pt>
                <c:pt idx="86" formatCode="General">
                  <c:v>15.125508255923172</c:v>
                </c:pt>
                <c:pt idx="87" formatCode="General">
                  <c:v>15.212188095953412</c:v>
                </c:pt>
                <c:pt idx="88" formatCode="General">
                  <c:v>15.298376820216365</c:v>
                </c:pt>
                <c:pt idx="89" formatCode="General">
                  <c:v>15.384082683085138</c:v>
                </c:pt>
                <c:pt idx="90" formatCode="General">
                  <c:v>15.469313710267389</c:v>
                </c:pt>
                <c:pt idx="91" formatCode="General">
                  <c:v>15.554077707576665</c:v>
                </c:pt>
                <c:pt idx="92" formatCode="General">
                  <c:v>15.638382269275811</c:v>
                </c:pt>
                <c:pt idx="93" formatCode="General">
                  <c:v>15.722234786017752</c:v>
                </c:pt>
                <c:pt idx="94" formatCode="General">
                  <c:v>15.805642452407096</c:v>
                </c:pt>
                <c:pt idx="95" formatCode="General">
                  <c:v>15.888612274204441</c:v>
                </c:pt>
                <c:pt idx="96" formatCode="General">
                  <c:v>15.971151075193882</c:v>
                </c:pt>
                <c:pt idx="97" formatCode="General">
                  <c:v>16.053265503732671</c:v>
                </c:pt>
                <c:pt idx="98" formatCode="General">
                  <c:v>16.1349620390009</c:v>
                </c:pt>
                <c:pt idx="99" formatCode="General">
                  <c:v>16.216246996967783</c:v>
                </c:pt>
                <c:pt idx="100" formatCode="General">
                  <c:v>16.297126536090136</c:v>
                </c:pt>
                <c:pt idx="101" formatCode="General">
                  <c:v>16.377606662757536</c:v>
                </c:pt>
                <c:pt idx="102" formatCode="General">
                  <c:v>16.457693236497839</c:v>
                </c:pt>
                <c:pt idx="103" formatCode="General">
                  <c:v>16.537391974955824</c:v>
                </c:pt>
                <c:pt idx="104" formatCode="General">
                  <c:v>16.616708458656909</c:v>
                </c:pt>
                <c:pt idx="105" formatCode="General">
                  <c:v>16.695648135567144</c:v>
                </c:pt>
                <c:pt idx="106" formatCode="General">
                  <c:v>16.774216325460134</c:v>
                </c:pt>
                <c:pt idx="107" formatCode="General">
                  <c:v>16.85241822410066</c:v>
                </c:pt>
                <c:pt idx="108" formatCode="General">
                  <c:v>16.930258907254395</c:v>
                </c:pt>
                <c:pt idx="109" formatCode="General">
                  <c:v>17.00774333453246</c:v>
                </c:pt>
                <c:pt idx="110" formatCode="General">
                  <c:v>17.084876353079061</c:v>
                </c:pt>
                <c:pt idx="111" formatCode="General">
                  <c:v>17.161662701109901</c:v>
                </c:pt>
                <c:pt idx="112" formatCode="General">
                  <c:v>17.238107011308792</c:v>
                </c:pt>
                <c:pt idx="113" formatCode="General">
                  <c:v>17.314213814089278</c:v>
                </c:pt>
                <c:pt idx="114" formatCode="General">
                  <c:v>17.389987540727759</c:v>
                </c:pt>
                <c:pt idx="115" formatCode="General">
                  <c:v>17.465432526374297</c:v>
                </c:pt>
                <c:pt idx="116" formatCode="General">
                  <c:v>17.540553012946887</c:v>
                </c:pt>
                <c:pt idx="117" formatCode="General">
                  <c:v>17.615353151914572</c:v>
                </c:pt>
                <c:pt idx="118" formatCode="General">
                  <c:v>17.689837006974749</c:v>
                </c:pt>
                <c:pt idx="119" formatCode="General">
                  <c:v>17.764008556629328</c:v>
                </c:pt>
                <c:pt idx="120" formatCode="General">
                  <c:v>17.837871696664564</c:v>
                </c:pt>
                <c:pt idx="121" formatCode="General">
                  <c:v>17.911430242538795</c:v>
                </c:pt>
                <c:pt idx="122" formatCode="General">
                  <c:v>17.98468793168233</c:v>
                </c:pt>
                <c:pt idx="123" formatCode="General">
                  <c:v>18.057648425713321</c:v>
                </c:pt>
                <c:pt idx="124" formatCode="General">
                  <c:v>18.130315312573398</c:v>
                </c:pt>
                <c:pt idx="125" formatCode="General">
                  <c:v>18.202692108586575</c:v>
                </c:pt>
                <c:pt idx="126" formatCode="General">
                  <c:v>18.274782260444766</c:v>
                </c:pt>
                <c:pt idx="127" formatCode="General">
                  <c:v>18.346589147123051</c:v>
                </c:pt>
                <c:pt idx="128" formatCode="General">
                  <c:v>18.418116081727796</c:v>
                </c:pt>
                <c:pt idx="129" formatCode="General">
                  <c:v>18.48936631328036</c:v>
                </c:pt>
                <c:pt idx="130" formatCode="General">
                  <c:v>18.560343028439245</c:v>
                </c:pt>
                <c:pt idx="131" formatCode="General">
                  <c:v>18.631049353163124</c:v>
                </c:pt>
                <c:pt idx="132" formatCode="General">
                  <c:v>18.70148835431733</c:v>
                </c:pt>
                <c:pt idx="133" formatCode="General">
                  <c:v>18.771663041226088</c:v>
                </c:pt>
                <c:pt idx="134" formatCode="General">
                  <c:v>18.841576367172681</c:v>
                </c:pt>
                <c:pt idx="135" formatCode="General">
                  <c:v>18.911231230849744</c:v>
                </c:pt>
                <c:pt idx="136" formatCode="General">
                  <c:v>18.980630477761622</c:v>
                </c:pt>
                <c:pt idx="137" formatCode="General">
                  <c:v>19.049776901580763</c:v>
                </c:pt>
                <c:pt idx="138" formatCode="General">
                  <c:v>19.11867324545997</c:v>
                </c:pt>
                <c:pt idx="139" formatCode="General">
                  <c:v>19.187322203302191</c:v>
                </c:pt>
                <c:pt idx="140" formatCode="General">
                  <c:v>19.255726420989678</c:v>
                </c:pt>
                <c:pt idx="141" formatCode="General">
                  <c:v>19.323888497573844</c:v>
                </c:pt>
                <c:pt idx="142" formatCode="General">
                  <c:v>19.391810986427583</c:v>
                </c:pt>
                <c:pt idx="143" formatCode="General">
                  <c:v>19.459496396361342</c:v>
                </c:pt>
                <c:pt idx="144" formatCode="General">
                  <c:v>19.526947192704412</c:v>
                </c:pt>
                <c:pt idx="145" formatCode="General">
                  <c:v>19.594165798352666</c:v>
                </c:pt>
                <c:pt idx="146" formatCode="General">
                  <c:v>19.661154594784104</c:v>
                </c:pt>
                <c:pt idx="147" formatCode="General">
                  <c:v>19.727915923043334</c:v>
                </c:pt>
                <c:pt idx="148" formatCode="General">
                  <c:v>19.794452084696193</c:v>
                </c:pt>
                <c:pt idx="149" formatCode="General">
                  <c:v>19.860765342755549</c:v>
                </c:pt>
                <c:pt idx="150" formatCode="General">
                  <c:v>19.926857922579433</c:v>
                </c:pt>
                <c:pt idx="151" formatCode="General">
                  <c:v>19.992732012742362</c:v>
                </c:pt>
                <c:pt idx="152" formatCode="General">
                  <c:v>20.05838976588101</c:v>
                </c:pt>
                <c:pt idx="153" formatCode="General">
                  <c:v>20.123833299514949</c:v>
                </c:pt>
                <c:pt idx="154" formatCode="General">
                  <c:v>20.18906469684352</c:v>
                </c:pt>
                <c:pt idx="155" formatCode="General">
                  <c:v>20.254086007519568</c:v>
                </c:pt>
                <c:pt idx="156" formatCode="General">
                  <c:v>20.3188992484009</c:v>
                </c:pt>
                <c:pt idx="157" formatCode="General">
                  <c:v>20.383506404280237</c:v>
                </c:pt>
                <c:pt idx="158" formatCode="General">
                  <c:v>20.447909428594407</c:v>
                </c:pt>
                <c:pt idx="159" formatCode="General">
                  <c:v>20.512110244113519</c:v>
                </c:pt>
                <c:pt idx="160" formatCode="General">
                  <c:v>20.576110743610741</c:v>
                </c:pt>
                <c:pt idx="161" formatCode="General">
                  <c:v>20.639912790513435</c:v>
                </c:pt>
                <c:pt idx="162" formatCode="General">
                  <c:v>20.703518219536186</c:v>
                </c:pt>
                <c:pt idx="163" formatCode="General">
                  <c:v>20.766928837296415</c:v>
                </c:pt>
                <c:pt idx="164" formatCode="General">
                  <c:v>20.830146422913117</c:v>
                </c:pt>
                <c:pt idx="165" formatCode="General">
                  <c:v>20.893172728589278</c:v>
                </c:pt>
                <c:pt idx="166" formatCode="General">
                  <c:v>20.956009480178551</c:v>
                </c:pt>
                <c:pt idx="167" formatCode="General">
                  <c:v>21.018658377736674</c:v>
                </c:pt>
                <c:pt idx="168" formatCode="General">
                  <c:v>21.081121096058123</c:v>
                </c:pt>
                <c:pt idx="169" formatCode="General">
                  <c:v>21.14339928519852</c:v>
                </c:pt>
                <c:pt idx="170" formatCode="General">
                  <c:v>21.205494570983252</c:v>
                </c:pt>
                <c:pt idx="171" formatCode="General">
                  <c:v>21.267408555502634</c:v>
                </c:pt>
                <c:pt idx="172" formatCode="General">
                  <c:v>21.329142817594278</c:v>
                </c:pt>
                <c:pt idx="173" formatCode="General">
                  <c:v>21.390698913312768</c:v>
                </c:pt>
                <c:pt idx="174" formatCode="General">
                  <c:v>21.452078376387373</c:v>
                </c:pt>
                <c:pt idx="175" formatCode="General">
                  <c:v>21.513282718667867</c:v>
                </c:pt>
                <c:pt idx="176" formatCode="General">
                  <c:v>21.574313430559037</c:v>
                </c:pt>
                <c:pt idx="177" formatCode="General">
                  <c:v>21.635171981444163</c:v>
                </c:pt>
                <c:pt idx="178" formatCode="General">
                  <c:v>21.69585982009778</c:v>
                </c:pt>
                <c:pt idx="179" formatCode="General">
                  <c:v>21.756378375088076</c:v>
                </c:pt>
                <c:pt idx="180" formatCode="General">
                  <c:v>21.816729055169262</c:v>
                </c:pt>
                <c:pt idx="181" formatCode="General">
                  <c:v>21.876913249664209</c:v>
                </c:pt>
                <c:pt idx="182" formatCode="General">
                  <c:v>21.936932328837596</c:v>
                </c:pt>
                <c:pt idx="183" formatCode="General">
                  <c:v>21.996787644259943</c:v>
                </c:pt>
                <c:pt idx="184" formatCode="General">
                  <c:v>22.056480529162702</c:v>
                </c:pt>
                <c:pt idx="185" formatCode="General">
                  <c:v>22.116012298784788</c:v>
                </c:pt>
                <c:pt idx="186" formatCode="General">
                  <c:v>22.175384250710668</c:v>
                </c:pt>
                <c:pt idx="187" formatCode="General">
                  <c:v>22.234597665200361</c:v>
                </c:pt>
                <c:pt idx="188" formatCode="General">
                  <c:v>22.293653805511561</c:v>
                </c:pt>
                <c:pt idx="189" formatCode="General">
                  <c:v>22.35255391821406</c:v>
                </c:pt>
                <c:pt idx="190" formatCode="General">
                  <c:v>22.411299233496781</c:v>
                </c:pt>
                <c:pt idx="191" formatCode="General">
                  <c:v>22.469890965467549</c:v>
                </c:pt>
                <c:pt idx="192" formatCode="General">
                  <c:v>22.528330312445853</c:v>
                </c:pt>
                <c:pt idx="193" formatCode="General">
                  <c:v>22.586618457248825</c:v>
                </c:pt>
                <c:pt idx="194" formatCode="General">
                  <c:v>22.644756567470537</c:v>
                </c:pt>
                <c:pt idx="195" formatCode="General">
                  <c:v>22.7027457957549</c:v>
                </c:pt>
                <c:pt idx="196" formatCode="General">
                  <c:v>22.760587280062296</c:v>
                </c:pt>
                <c:pt idx="197" formatCode="General">
                  <c:v>22.818282143930119</c:v>
                </c:pt>
                <c:pt idx="198" formatCode="General">
                  <c:v>22.875831496727429</c:v>
                </c:pt>
                <c:pt idx="199" formatCode="General">
                  <c:v>22.933236433903815</c:v>
                </c:pt>
                <c:pt idx="200" formatCode="General">
                  <c:v>22.990498037232683</c:v>
                </c:pt>
                <c:pt idx="201" formatCode="General">
                  <c:v>23.047617375049128</c:v>
                </c:pt>
                <c:pt idx="202" formatCode="General">
                  <c:v>23.104595502482475</c:v>
                </c:pt>
                <c:pt idx="203" formatCode="General">
                  <c:v>23.161433461683675</c:v>
                </c:pt>
                <c:pt idx="204" formatCode="General">
                  <c:v>23.218132282047726</c:v>
                </c:pt>
                <c:pt idx="205" formatCode="General">
                  <c:v>23.274692980431201</c:v>
                </c:pt>
                <c:pt idx="206" formatCode="General">
                  <c:v>23.331116561364993</c:v>
                </c:pt>
                <c:pt idx="207" formatCode="General">
                  <c:v>23.387404017262508</c:v>
                </c:pt>
                <c:pt idx="208" formatCode="General">
                  <c:v>23.443556328623298</c:v>
                </c:pt>
                <c:pt idx="209" formatCode="General">
                  <c:v>23.499574464232328</c:v>
                </c:pt>
                <c:pt idx="210" formatCode="General">
                  <c:v>23.555459381355032</c:v>
                </c:pt>
                <c:pt idx="211" formatCode="General">
                  <c:v>23.611212025928136</c:v>
                </c:pt>
                <c:pt idx="212" formatCode="General">
                  <c:v>23.666833332746485</c:v>
                </c:pt>
                <c:pt idx="213" formatCode="General">
                  <c:v>23.722324225645906</c:v>
                </c:pt>
                <c:pt idx="214" formatCode="General">
                  <c:v>23.777685617682252</c:v>
                </c:pt>
                <c:pt idx="215" formatCode="General">
                  <c:v>23.832918411306661</c:v>
                </c:pt>
                <c:pt idx="216" formatCode="General">
                  <c:v>23.888023498537226</c:v>
                </c:pt>
                <c:pt idx="217" formatCode="General">
                  <c:v>23.943001761127057</c:v>
                </c:pt>
                <c:pt idx="218" formatCode="General">
                  <c:v>23.997854070728906</c:v>
                </c:pt>
                <c:pt idx="219" formatCode="General">
                  <c:v>24.052581289056416</c:v>
                </c:pt>
                <c:pt idx="220" formatCode="General">
                  <c:v>24.107184268042033</c:v>
                </c:pt>
                <c:pt idx="221" formatCode="General">
                  <c:v>24.16166384999179</c:v>
                </c:pt>
                <c:pt idx="222" formatCode="General">
                  <c:v>24.216020867736852</c:v>
                </c:pt>
                <c:pt idx="223" formatCode="General">
                  <c:v>24.270256144782099</c:v>
                </c:pt>
                <c:pt idx="224" formatCode="General">
                  <c:v>24.324370495451674</c:v>
                </c:pt>
                <c:pt idx="225" formatCode="General">
                  <c:v>24.378364725031634</c:v>
                </c:pt>
                <c:pt idx="226" formatCode="General">
                  <c:v>24.43223962990977</c:v>
                </c:pt>
                <c:pt idx="227" formatCode="General">
                  <c:v>24.485995997712653</c:v>
                </c:pt>
                <c:pt idx="228" formatCode="General">
                  <c:v>24.539634607439993</c:v>
                </c:pt>
                <c:pt idx="229" formatCode="General">
                  <c:v>24.593156229596346</c:v>
                </c:pt>
                <c:pt idx="230" formatCode="General">
                  <c:v>24.646561626320214</c:v>
                </c:pt>
                <c:pt idx="231" formatCode="General">
                  <c:v>24.699851551510722</c:v>
                </c:pt>
                <c:pt idx="232" formatCode="General">
                  <c:v>24.753026750951761</c:v>
                </c:pt>
                <c:pt idx="233" formatCode="General">
                  <c:v>24.80608796243374</c:v>
                </c:pt>
                <c:pt idx="234" formatCode="General">
                  <c:v>24.859035915873061</c:v>
                </c:pt>
                <c:pt idx="235" formatCode="General">
                  <c:v>24.911871333429232</c:v>
                </c:pt>
                <c:pt idx="236" formatCode="General">
                  <c:v>24.964594929619825</c:v>
                </c:pt>
                <c:pt idx="237" formatCode="General">
                  <c:v>25.017207411433169</c:v>
                </c:pt>
                <c:pt idx="238" formatCode="General">
                  <c:v>25.069709478438984</c:v>
                </c:pt>
                <c:pt idx="239" formatCode="General">
                  <c:v>25.122101822896905</c:v>
                </c:pt>
              </c:numCache>
            </c:numRef>
          </c:yVal>
          <c:smooth val="1"/>
          <c:extLst>
            <c:ext xmlns:c16="http://schemas.microsoft.com/office/drawing/2014/chart" uri="{C3380CC4-5D6E-409C-BE32-E72D297353CC}">
              <c16:uniqueId val="{00000000-FDAC-4F22-A5FB-122AC1C7E3AE}"/>
            </c:ext>
          </c:extLst>
        </c:ser>
        <c:ser>
          <c:idx val="2"/>
          <c:order val="3"/>
          <c:tx>
            <c:v>Velocity without gate (ft/sec)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'Data Table Mannings (2)'!$A$35:$A$274</c:f>
              <c:numCache>
                <c:formatCode>0.00</c:formatCode>
                <c:ptCount val="2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xVal>
          <c:yVal>
            <c:numRef>
              <c:f>'Data Table Mannings (2)'!$C$35:$C$274</c:f>
              <c:numCache>
                <c:formatCode>0.00</c:formatCode>
                <c:ptCount val="240"/>
                <c:pt idx="0">
                  <c:v>1.946406420894238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numCache>
            </c:numRef>
          </c:yVal>
          <c:smooth val="1"/>
          <c:extLst>
            <c:ext xmlns:c16="http://schemas.microsoft.com/office/drawing/2014/chart" uri="{C3380CC4-5D6E-409C-BE32-E72D297353CC}">
              <c16:uniqueId val="{00000001-FDAC-4F22-A5FB-122AC1C7E3AE}"/>
            </c:ext>
          </c:extLst>
        </c:ser>
        <c:ser>
          <c:idx val="5"/>
          <c:order val="4"/>
          <c:tx>
            <c:v>Gate Opens</c:v>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0"/>
              <c:tx>
                <c:rich>
                  <a:bodyPr/>
                  <a:lstStyle/>
                  <a:p>
                    <a:fld id="{29E6B0E4-BA56-4CD8-BD42-C82E76DA09F4}" type="SERIESNAME">
                      <a:rPr lang="en-US" sz="1200">
                        <a:solidFill>
                          <a:schemeClr val="tx1"/>
                        </a:solidFill>
                        <a:latin typeface="Arial" panose="020B0604020202020204" pitchFamily="34" charset="0"/>
                        <a:cs typeface="Arial" panose="020B0604020202020204" pitchFamily="34" charset="0"/>
                      </a:rPr>
                      <a:pPr/>
                      <a:t>[SERIES NAME]</a:t>
                    </a:fld>
                    <a:r>
                      <a:rPr lang="en-US" baseline="0">
                        <a:solidFill>
                          <a:schemeClr val="tx1"/>
                        </a:solidFill>
                      </a:rPr>
                      <a:t>, </a:t>
                    </a:r>
                    <a:fld id="{F8C1E458-DB09-47CE-A29C-77F02E95FD0F}" type="XVALUE">
                      <a:rPr lang="en-US" sz="1200" baseline="0">
                        <a:solidFill>
                          <a:schemeClr val="tx1"/>
                        </a:solidFill>
                        <a:latin typeface="Arial" panose="020B0604020202020204" pitchFamily="34" charset="0"/>
                        <a:cs typeface="Arial" panose="020B0604020202020204" pitchFamily="34" charset="0"/>
                      </a:rPr>
                      <a:pPr/>
                      <a:t>[X VALUE]</a:t>
                    </a:fld>
                    <a:endParaRPr lang="en-US" baseline="0">
                      <a:solidFill>
                        <a:schemeClr val="tx1"/>
                      </a:solidFill>
                    </a:endParaRPr>
                  </a:p>
                </c:rich>
              </c:tx>
              <c:dLblPos val="t"/>
              <c:showLegendKey val="0"/>
              <c:showVal val="0"/>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FDAC-4F22-A5FB-122AC1C7E3AE}"/>
                </c:ext>
              </c:extLst>
            </c:dLbl>
            <c:spPr>
              <a:solidFill>
                <a:schemeClr val="accent2">
                  <a:lumMod val="60000"/>
                  <a:lumOff val="4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downArrowCallout">
                    <a:avLst/>
                  </a:prstGeom>
                  <a:noFill/>
                  <a:ln>
                    <a:noFill/>
                  </a:ln>
                </c15:spPr>
                <c15:showLeaderLines val="0"/>
              </c:ext>
            </c:extLst>
          </c:dLbls>
          <c:errBars>
            <c:errDir val="x"/>
            <c:errBarType val="both"/>
            <c:errValType val="percentage"/>
            <c:noEndCap val="1"/>
            <c:val val="0"/>
            <c:spPr>
              <a:noFill/>
              <a:ln w="9525" cap="flat" cmpd="sng" algn="ctr">
                <a:solidFill>
                  <a:schemeClr val="tx1">
                    <a:lumMod val="65000"/>
                    <a:lumOff val="35000"/>
                  </a:schemeClr>
                </a:solidFill>
                <a:round/>
              </a:ln>
              <a:effectLst/>
            </c:spPr>
          </c:errBars>
          <c:errBars>
            <c:errDir val="y"/>
            <c:errBarType val="minus"/>
            <c:errValType val="percentage"/>
            <c:noEndCap val="1"/>
            <c:val val="100"/>
            <c:spPr>
              <a:noFill/>
              <a:ln w="9525" cap="flat" cmpd="sng" algn="ctr">
                <a:solidFill>
                  <a:schemeClr val="tx1">
                    <a:lumMod val="65000"/>
                    <a:lumOff val="35000"/>
                  </a:schemeClr>
                </a:solidFill>
                <a:round/>
              </a:ln>
              <a:effectLst/>
            </c:spPr>
          </c:errBars>
          <c:xVal>
            <c:numRef>
              <c:f>'Data Table Input'!$J$42</c:f>
              <c:numCache>
                <c:formatCode>0</c:formatCode>
                <c:ptCount val="1"/>
                <c:pt idx="0">
                  <c:v>44</c:v>
                </c:pt>
              </c:numCache>
            </c:numRef>
          </c:xVal>
          <c:yVal>
            <c:numRef>
              <c:f>'Data Table Input'!$K$42</c:f>
              <c:numCache>
                <c:formatCode>General</c:formatCode>
                <c:ptCount val="1"/>
                <c:pt idx="0">
                  <c:v>16</c:v>
                </c:pt>
              </c:numCache>
            </c:numRef>
          </c:yVal>
          <c:smooth val="1"/>
          <c:extLst>
            <c:ext xmlns:c16="http://schemas.microsoft.com/office/drawing/2014/chart" uri="{C3380CC4-5D6E-409C-BE32-E72D297353CC}">
              <c16:uniqueId val="{00000002-FDAC-4F22-A5FB-122AC1C7E3AE}"/>
            </c:ext>
          </c:extLst>
        </c:ser>
        <c:ser>
          <c:idx val="6"/>
          <c:order val="6"/>
          <c:tx>
            <c:v> Critical Velocity (fps)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minus"/>
            <c:errValType val="percentage"/>
            <c:noEndCap val="1"/>
            <c:val val="100"/>
            <c:spPr>
              <a:noFill/>
              <a:ln w="19050" cap="flat" cmpd="sng" algn="ctr">
                <a:solidFill>
                  <a:schemeClr val="accent1">
                    <a:lumMod val="75000"/>
                  </a:schemeClr>
                </a:solidFill>
                <a:round/>
              </a:ln>
              <a:effectLst/>
            </c:spPr>
          </c:errBars>
          <c:errBars>
            <c:errDir val="y"/>
            <c:errBarType val="both"/>
            <c:errValType val="percentage"/>
            <c:noEndCap val="1"/>
            <c:val val="0"/>
            <c:spPr>
              <a:noFill/>
              <a:ln w="9525" cap="flat" cmpd="sng" algn="ctr">
                <a:solidFill>
                  <a:schemeClr val="tx1">
                    <a:lumMod val="65000"/>
                    <a:lumOff val="35000"/>
                  </a:schemeClr>
                </a:solidFill>
                <a:round/>
              </a:ln>
              <a:effectLst/>
            </c:spPr>
          </c:errBars>
          <c:xVal>
            <c:numRef>
              <c:f>'Data Table Input'!$J$44</c:f>
              <c:numCache>
                <c:formatCode>General</c:formatCode>
                <c:ptCount val="1"/>
                <c:pt idx="0">
                  <c:v>80</c:v>
                </c:pt>
              </c:numCache>
            </c:numRef>
          </c:xVal>
          <c:yVal>
            <c:numRef>
              <c:f>'Data Table Input'!$K$44</c:f>
              <c:numCache>
                <c:formatCode>General</c:formatCode>
                <c:ptCount val="1"/>
                <c:pt idx="0">
                  <c:v>0</c:v>
                </c:pt>
              </c:numCache>
            </c:numRef>
          </c:yVal>
          <c:smooth val="1"/>
          <c:extLst>
            <c:ext xmlns:c16="http://schemas.microsoft.com/office/drawing/2014/chart" uri="{C3380CC4-5D6E-409C-BE32-E72D297353CC}">
              <c16:uniqueId val="{00000003-FDAC-4F22-A5FB-122AC1C7E3AE}"/>
            </c:ext>
          </c:extLst>
        </c:ser>
        <c:dLbls>
          <c:showLegendKey val="0"/>
          <c:showVal val="0"/>
          <c:showCatName val="0"/>
          <c:showSerName val="0"/>
          <c:showPercent val="0"/>
          <c:showBubbleSize val="0"/>
        </c:dLbls>
        <c:axId val="783867328"/>
        <c:axId val="783868312"/>
      </c:scatterChart>
      <c:scatterChart>
        <c:scatterStyle val="smoothMarker"/>
        <c:varyColors val="0"/>
        <c:ser>
          <c:idx val="0"/>
          <c:order val="0"/>
          <c:tx>
            <c:v>Flow Rate with gate (cfs)</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'Data Table Input'!$A$42:$A$281</c:f>
              <c:numCache>
                <c:formatCode>General</c:formatCode>
                <c:ptCount val="2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numCache>
            </c:numRef>
          </c:xVal>
          <c:yVal>
            <c:numRef>
              <c:f>'Data Table Input'!$B$42:$B$281</c:f>
              <c:numCache>
                <c:formatCode>0.00</c:formatCode>
                <c:ptCount val="240"/>
                <c:pt idx="0">
                  <c:v>8.7178805822423946E-2</c:v>
                </c:pt>
                <c:pt idx="1">
                  <c:v>0.38115133768669596</c:v>
                </c:pt>
                <c:pt idx="2">
                  <c:v>0.63661660532760866</c:v>
                </c:pt>
                <c:pt idx="3">
                  <c:v>0.73510153691296132</c:v>
                </c:pt>
                <c:pt idx="4">
                  <c:v>0.82186850345097606</c:v>
                </c:pt>
                <c:pt idx="5">
                  <c:v>0.9003118372862241</c:v>
                </c:pt>
                <c:pt idx="6">
                  <c:v>0.97244792752653131</c:v>
                </c:pt>
                <c:pt idx="7">
                  <c:v>1.0395905632236162</c:v>
                </c:pt>
                <c:pt idx="8">
                  <c:v>1.1026523053694417</c:v>
                </c:pt>
                <c:pt idx="9">
                  <c:v>1.1622975840676493</c:v>
                </c:pt>
                <c:pt idx="10">
                  <c:v>1.219027990376941</c:v>
                </c:pt>
                <c:pt idx="11">
                  <c:v>1.2732332106552173</c:v>
                </c:pt>
                <c:pt idx="12">
                  <c:v>1.325223142006033</c:v>
                </c:pt>
                <c:pt idx="13">
                  <c:v>1.3752490478096291</c:v>
                </c:pt>
                <c:pt idx="14">
                  <c:v>1.4235180051176879</c:v>
                </c:pt>
                <c:pt idx="15">
                  <c:v>1.4702030738259226</c:v>
                </c:pt>
                <c:pt idx="16">
                  <c:v>1.5154506411230095</c:v>
                </c:pt>
                <c:pt idx="17">
                  <c:v>1.5593858448354241</c:v>
                </c:pt>
                <c:pt idx="18">
                  <c:v>1.602116656322516</c:v>
                </c:pt>
                <c:pt idx="19">
                  <c:v>1.6437370069019521</c:v>
                </c:pt>
                <c:pt idx="20">
                  <c:v>1.6843292181910099</c:v>
                </c:pt>
                <c:pt idx="21">
                  <c:v>1.7239659169034889</c:v>
                </c:pt>
                <c:pt idx="22">
                  <c:v>1.762711561781404</c:v>
                </c:pt>
                <c:pt idx="23">
                  <c:v>1.8006236745724482</c:v>
                </c:pt>
                <c:pt idx="24">
                  <c:v>1.8377538422824031</c:v>
                </c:pt>
                <c:pt idx="25">
                  <c:v>1.874148540595618</c:v>
                </c:pt>
                <c:pt idx="26">
                  <c:v>1.9098498159828259</c:v>
                </c:pt>
                <c:pt idx="27">
                  <c:v>1.9448958550530626</c:v>
                </c:pt>
                <c:pt idx="28">
                  <c:v>1.9793214631270819</c:v>
                </c:pt>
                <c:pt idx="29">
                  <c:v>2.0131584691197268</c:v>
                </c:pt>
                <c:pt idx="30">
                  <c:v>2.0464360701427817</c:v>
                </c:pt>
                <c:pt idx="31">
                  <c:v>2.0791811264472324</c:v>
                </c:pt>
                <c:pt idx="32">
                  <c:v>2.1114184151814466</c:v>
                </c:pt>
                <c:pt idx="33">
                  <c:v>2.1431708497831621</c:v>
                </c:pt>
                <c:pt idx="34">
                  <c:v>2.1744596705281127</c:v>
                </c:pt>
                <c:pt idx="35">
                  <c:v>2.2053046107388834</c:v>
                </c:pt>
                <c:pt idx="36">
                  <c:v>2.2357240423493971</c:v>
                </c:pt>
                <c:pt idx="37">
                  <c:v>2.2657351038751368</c:v>
                </c:pt>
                <c:pt idx="38">
                  <c:v>2.2953538133205145</c:v>
                </c:pt>
                <c:pt idx="39">
                  <c:v>2.3245951681352985</c:v>
                </c:pt>
                <c:pt idx="40">
                  <c:v>2.3534732339907598</c:v>
                </c:pt>
                <c:pt idx="41">
                  <c:v>2.3820012238669981</c:v>
                </c:pt>
                <c:pt idx="42">
                  <c:v>2.4101915687133308</c:v>
                </c:pt>
                <c:pt idx="43">
                  <c:v>2.438055980753882</c:v>
                </c:pt>
                <c:pt idx="44">
                  <c:v>34.174839235948269</c:v>
                </c:pt>
                <c:pt idx="45">
                  <c:v>34.552473232890883</c:v>
                </c:pt>
                <c:pt idx="46">
                  <c:v>34.926024340259112</c:v>
                </c:pt>
                <c:pt idx="47">
                  <c:v>35.295622192038259</c:v>
                </c:pt>
                <c:pt idx="48">
                  <c:v>35.66138970413008</c:v>
                </c:pt>
                <c:pt idx="49">
                  <c:v>36.023443551895006</c:v>
                </c:pt>
                <c:pt idx="50">
                  <c:v>36.381894604917122</c:v>
                </c:pt>
                <c:pt idx="51">
                  <c:v>36.736848323584155</c:v>
                </c:pt>
                <c:pt idx="52">
                  <c:v>37.088405121503406</c:v>
                </c:pt>
                <c:pt idx="53">
                  <c:v>37.436660697282967</c:v>
                </c:pt>
                <c:pt idx="54">
                  <c:v>37.781706338785476</c:v>
                </c:pt>
                <c:pt idx="55">
                  <c:v>38.123629202594991</c:v>
                </c:pt>
                <c:pt idx="56">
                  <c:v>38.462512571121572</c:v>
                </c:pt>
                <c:pt idx="57">
                  <c:v>38.79843608949227</c:v>
                </c:pt>
                <c:pt idx="58">
                  <c:v>39.131475984137722</c:v>
                </c:pt>
                <c:pt idx="59">
                  <c:v>39.461705264773833</c:v>
                </c:pt>
                <c:pt idx="60">
                  <c:v>39.789193911294689</c:v>
                </c:pt>
                <c:pt idx="61">
                  <c:v>40.11400904693199</c:v>
                </c:pt>
                <c:pt idx="62">
                  <c:v>40.436215098894621</c:v>
                </c:pt>
                <c:pt idx="63">
                  <c:v>40.755873947577228</c:v>
                </c:pt>
                <c:pt idx="64">
                  <c:v>41.073045065316691</c:v>
                </c:pt>
                <c:pt idx="65">
                  <c:v>41.387785645577452</c:v>
                </c:pt>
                <c:pt idx="66">
                  <c:v>41.700150723360679</c:v>
                </c:pt>
                <c:pt idx="67">
                  <c:v>42.010193287554983</c:v>
                </c:pt>
                <c:pt idx="68">
                  <c:v>42.317964385878255</c:v>
                </c:pt>
                <c:pt idx="69">
                  <c:v>42.62351322299925</c:v>
                </c:pt>
                <c:pt idx="70">
                  <c:v>42.926887252372765</c:v>
                </c:pt>
                <c:pt idx="71">
                  <c:v>43.228132262274002</c:v>
                </c:pt>
                <c:pt idx="72">
                  <c:v>43.527292456473631</c:v>
                </c:pt>
                <c:pt idx="73">
                  <c:v>43.824410529955991</c:v>
                </c:pt>
                <c:pt idx="74">
                  <c:v>44.119527740047822</c:v>
                </c:pt>
                <c:pt idx="75">
                  <c:v>44.412683973292808</c:v>
                </c:pt>
                <c:pt idx="76">
                  <c:v>44.703917808379067</c:v>
                </c:pt>
                <c:pt idx="77">
                  <c:v>44.993266575400405</c:v>
                </c:pt>
                <c:pt idx="78">
                  <c:v>45.280766411709223</c:v>
                </c:pt>
                <c:pt idx="79">
                  <c:v>45.56645231459769</c:v>
                </c:pt>
                <c:pt idx="80">
                  <c:v>45.850358191024384</c:v>
                </c:pt>
                <c:pt idx="81">
                  <c:v>46.132516904586595</c:v>
                </c:pt>
                <c:pt idx="82">
                  <c:v>46.41296031992249</c:v>
                </c:pt>
                <c:pt idx="83">
                  <c:v>46.691719344712837</c:v>
                </c:pt>
                <c:pt idx="84">
                  <c:v>46.96882396943915</c:v>
                </c:pt>
                <c:pt idx="85">
                  <c:v>47.244303305042962</c:v>
                </c:pt>
                <c:pt idx="86">
                  <c:v>47.518185618620002</c:v>
                </c:pt>
                <c:pt idx="87">
                  <c:v>47.790498367273344</c:v>
                </c:pt>
                <c:pt idx="88">
                  <c:v>48.06126823024011</c:v>
                </c:pt>
                <c:pt idx="89">
                  <c:v>48.330521139398222</c:v>
                </c:pt>
                <c:pt idx="90">
                  <c:v>48.598282308251896</c:v>
                </c:pt>
                <c:pt idx="91">
                  <c:v>48.86457625948762</c:v>
                </c:pt>
                <c:pt idx="92">
                  <c:v>49.129426851185762</c:v>
                </c:pt>
                <c:pt idx="93">
                  <c:v>49.392857301767265</c:v>
                </c:pt>
                <c:pt idx="94">
                  <c:v>49.654890213749091</c:v>
                </c:pt>
                <c:pt idx="95">
                  <c:v>49.915547596377287</c:v>
                </c:pt>
                <c:pt idx="96">
                  <c:v>50.174850887201828</c:v>
                </c:pt>
                <c:pt idx="97">
                  <c:v>50.432820972653005</c:v>
                </c:pt>
                <c:pt idx="98">
                  <c:v>50.689478207675414</c:v>
                </c:pt>
                <c:pt idx="99">
                  <c:v>50.944842434471532</c:v>
                </c:pt>
                <c:pt idx="100">
                  <c:v>51.198933000404047</c:v>
                </c:pt>
                <c:pt idx="101">
                  <c:v>51.451768775102323</c:v>
                </c:pt>
                <c:pt idx="102">
                  <c:v>51.703368166816041</c:v>
                </c:pt>
                <c:pt idx="103">
                  <c:v>51.953749138056018</c:v>
                </c:pt>
                <c:pt idx="104">
                  <c:v>52.202929220559916</c:v>
                </c:pt>
                <c:pt idx="105">
                  <c:v>52.450925529617869</c:v>
                </c:pt>
                <c:pt idx="106">
                  <c:v>52.697754777791538</c:v>
                </c:pt>
                <c:pt idx="107">
                  <c:v>52.943433288057378</c:v>
                </c:pt>
                <c:pt idx="108">
                  <c:v>53.187977006403564</c:v>
                </c:pt>
                <c:pt idx="109">
                  <c:v>53.43140151390795</c:v>
                </c:pt>
                <c:pt idx="110">
                  <c:v>53.673722038323149</c:v>
                </c:pt>
                <c:pt idx="111">
                  <c:v>53.914953465192824</c:v>
                </c:pt>
                <c:pt idx="112">
                  <c:v>54.155110348522406</c:v>
                </c:pt>
                <c:pt idx="113">
                  <c:v>54.394206921025791</c:v>
                </c:pt>
                <c:pt idx="114">
                  <c:v>54.632257103968364</c:v>
                </c:pt>
                <c:pt idx="115">
                  <c:v>54.869274516625715</c:v>
                </c:pt>
                <c:pt idx="116">
                  <c:v>55.105272485376247</c:v>
                </c:pt>
                <c:pt idx="117">
                  <c:v>55.340264052444631</c:v>
                </c:pt>
                <c:pt idx="118">
                  <c:v>55.57426198431272</c:v>
                </c:pt>
                <c:pt idx="119">
                  <c:v>55.807278779812926</c:v>
                </c:pt>
                <c:pt idx="120">
                  <c:v>56.039326677918694</c:v>
                </c:pt>
                <c:pt idx="121">
                  <c:v>56.27041766524593</c:v>
                </c:pt>
                <c:pt idx="122">
                  <c:v>56.500563483278221</c:v>
                </c:pt>
                <c:pt idx="123">
                  <c:v>56.729775635328259</c:v>
                </c:pt>
                <c:pt idx="124">
                  <c:v>56.958065393247118</c:v>
                </c:pt>
                <c:pt idx="125">
                  <c:v>57.18544380389249</c:v>
                </c:pt>
                <c:pt idx="126">
                  <c:v>57.411921695366352</c:v>
                </c:pt>
                <c:pt idx="127">
                  <c:v>57.637509683032008</c:v>
                </c:pt>
                <c:pt idx="128">
                  <c:v>57.862218175320073</c:v>
                </c:pt>
                <c:pt idx="129">
                  <c:v>58.086057379332182</c:v>
                </c:pt>
                <c:pt idx="130">
                  <c:v>58.30903730625127</c:v>
                </c:pt>
                <c:pt idx="131">
                  <c:v>58.531167776566136</c:v>
                </c:pt>
                <c:pt idx="132">
                  <c:v>58.752458425118391</c:v>
                </c:pt>
                <c:pt idx="133">
                  <c:v>58.972918705978906</c:v>
                </c:pt>
                <c:pt idx="134">
                  <c:v>59.192557897160761</c:v>
                </c:pt>
                <c:pt idx="135">
                  <c:v>59.41138510517542</c:v>
                </c:pt>
                <c:pt idx="136">
                  <c:v>59.629409269438433</c:v>
                </c:pt>
                <c:pt idx="137">
                  <c:v>59.846639166530657</c:v>
                </c:pt>
                <c:pt idx="138">
                  <c:v>60.063083414320765</c:v>
                </c:pt>
                <c:pt idx="139">
                  <c:v>60.278750475954489</c:v>
                </c:pt>
                <c:pt idx="140">
                  <c:v>60.493648663716051</c:v>
                </c:pt>
                <c:pt idx="141">
                  <c:v>60.707786142766288</c:v>
                </c:pt>
                <c:pt idx="142">
                  <c:v>60.921170934762728</c:v>
                </c:pt>
                <c:pt idx="143">
                  <c:v>61.133810921365843</c:v>
                </c:pt>
                <c:pt idx="144">
                  <c:v>61.345713847636013</c:v>
                </c:pt>
                <c:pt idx="145">
                  <c:v>61.556887325325121</c:v>
                </c:pt>
                <c:pt idx="146">
                  <c:v>61.767338836066948</c:v>
                </c:pt>
                <c:pt idx="147">
                  <c:v>61.977075734470041</c:v>
                </c:pt>
                <c:pt idx="148">
                  <c:v>62.186105251116722</c:v>
                </c:pt>
                <c:pt idx="149">
                  <c:v>62.394434495471607</c:v>
                </c:pt>
                <c:pt idx="150">
                  <c:v>62.60207045870311</c:v>
                </c:pt>
                <c:pt idx="151">
                  <c:v>62.809020016420888</c:v>
                </c:pt>
                <c:pt idx="152">
                  <c:v>63.015289931332468</c:v>
                </c:pt>
                <c:pt idx="153">
                  <c:v>63.22088685582181</c:v>
                </c:pt>
                <c:pt idx="154">
                  <c:v>63.425817334452645</c:v>
                </c:pt>
                <c:pt idx="155">
                  <c:v>63.630087806399303</c:v>
                </c:pt>
                <c:pt idx="156">
                  <c:v>63.833704607807441</c:v>
                </c:pt>
                <c:pt idx="157">
                  <c:v>64.036673974087293</c:v>
                </c:pt>
                <c:pt idx="158">
                  <c:v>64.239002042141649</c:v>
                </c:pt>
                <c:pt idx="159">
                  <c:v>64.440694852530967</c:v>
                </c:pt>
                <c:pt idx="160">
                  <c:v>64.641758351577522</c:v>
                </c:pt>
                <c:pt idx="161">
                  <c:v>64.84219839341101</c:v>
                </c:pt>
                <c:pt idx="162">
                  <c:v>65.042020741957316</c:v>
                </c:pt>
                <c:pt idx="163">
                  <c:v>65.241231072872438</c:v>
                </c:pt>
                <c:pt idx="164">
                  <c:v>65.439834975423551</c:v>
                </c:pt>
                <c:pt idx="165">
                  <c:v>65.637837954318684</c:v>
                </c:pt>
                <c:pt idx="166">
                  <c:v>65.835245431486996</c:v>
                </c:pt>
                <c:pt idx="167">
                  <c:v>66.032062747811096</c:v>
                </c:pt>
                <c:pt idx="168">
                  <c:v>66.228295164813005</c:v>
                </c:pt>
                <c:pt idx="169">
                  <c:v>66.42394786629535</c:v>
                </c:pt>
                <c:pt idx="170">
                  <c:v>66.619025959939222</c:v>
                </c:pt>
                <c:pt idx="171">
                  <c:v>66.813534478859793</c:v>
                </c:pt>
                <c:pt idx="172">
                  <c:v>67.007478383121679</c:v>
                </c:pt>
                <c:pt idx="173">
                  <c:v>67.200862561214564</c:v>
                </c:pt>
                <c:pt idx="174">
                  <c:v>67.393691831491026</c:v>
                </c:pt>
                <c:pt idx="175">
                  <c:v>67.585970943567219</c:v>
                </c:pt>
                <c:pt idx="176">
                  <c:v>67.777704579687878</c:v>
                </c:pt>
                <c:pt idx="177">
                  <c:v>67.968897356056715</c:v>
                </c:pt>
                <c:pt idx="178">
                  <c:v>68.159553824133155</c:v>
                </c:pt>
                <c:pt idx="179">
                  <c:v>68.349678471896539</c:v>
                </c:pt>
                <c:pt idx="180">
                  <c:v>68.539275725078738</c:v>
                </c:pt>
                <c:pt idx="181">
                  <c:v>68.728349948366287</c:v>
                </c:pt>
                <c:pt idx="182">
                  <c:v>68.916905446572628</c:v>
                </c:pt>
                <c:pt idx="183">
                  <c:v>69.104946465781765</c:v>
                </c:pt>
                <c:pt idx="184">
                  <c:v>69.292477194463856</c:v>
                </c:pt>
                <c:pt idx="185">
                  <c:v>69.479501764563807</c:v>
                </c:pt>
                <c:pt idx="186">
                  <c:v>69.666024252563432</c:v>
                </c:pt>
                <c:pt idx="187">
                  <c:v>69.852048680518223</c:v>
                </c:pt>
                <c:pt idx="188">
                  <c:v>70.037579017069248</c:v>
                </c:pt>
                <c:pt idx="189">
                  <c:v>70.222619178431032</c:v>
                </c:pt>
                <c:pt idx="190">
                  <c:v>70.407173029356045</c:v>
                </c:pt>
                <c:pt idx="191">
                  <c:v>70.591244384076518</c:v>
                </c:pt>
                <c:pt idx="192">
                  <c:v>70.774837007224136</c:v>
                </c:pt>
                <c:pt idx="193">
                  <c:v>70.957954614728536</c:v>
                </c:pt>
                <c:pt idx="194">
                  <c:v>71.140600874694655</c:v>
                </c:pt>
                <c:pt idx="195">
                  <c:v>71.32277940826016</c:v>
                </c:pt>
                <c:pt idx="196">
                  <c:v>71.504493790433003</c:v>
                </c:pt>
                <c:pt idx="197">
                  <c:v>71.685747550910023</c:v>
                </c:pt>
                <c:pt idx="198">
                  <c:v>71.866544174876893</c:v>
                </c:pt>
                <c:pt idx="199">
                  <c:v>72.046887103790013</c:v>
                </c:pt>
                <c:pt idx="200">
                  <c:v>72.226779736140756</c:v>
                </c:pt>
                <c:pt idx="201">
                  <c:v>72.406225428202816</c:v>
                </c:pt>
                <c:pt idx="202">
                  <c:v>72.585227494762719</c:v>
                </c:pt>
                <c:pt idx="203">
                  <c:v>72.763789209834243</c:v>
                </c:pt>
                <c:pt idx="204">
                  <c:v>72.941913807357153</c:v>
                </c:pt>
                <c:pt idx="205">
                  <c:v>73.119604481880586</c:v>
                </c:pt>
                <c:pt idx="206">
                  <c:v>73.296864389231416</c:v>
                </c:pt>
                <c:pt idx="207">
                  <c:v>73.47369664716831</c:v>
                </c:pt>
                <c:pt idx="208">
                  <c:v>73.650104336021457</c:v>
                </c:pt>
                <c:pt idx="209">
                  <c:v>73.826090499318582</c:v>
                </c:pt>
                <c:pt idx="210">
                  <c:v>74.001658144397737</c:v>
                </c:pt>
                <c:pt idx="211">
                  <c:v>74.176810243006813</c:v>
                </c:pt>
                <c:pt idx="212">
                  <c:v>74.351549731890401</c:v>
                </c:pt>
                <c:pt idx="213">
                  <c:v>74.525879513364359</c:v>
                </c:pt>
                <c:pt idx="214">
                  <c:v>74.699802455878242</c:v>
                </c:pt>
                <c:pt idx="215">
                  <c:v>74.873321394565934</c:v>
                </c:pt>
                <c:pt idx="216">
                  <c:v>75.046439131784894</c:v>
                </c:pt>
                <c:pt idx="217">
                  <c:v>75.219158437644239</c:v>
                </c:pt>
                <c:pt idx="218">
                  <c:v>75.391482050521844</c:v>
                </c:pt>
                <c:pt idx="219">
                  <c:v>75.563412677570952</c:v>
                </c:pt>
                <c:pt idx="220">
                  <c:v>75.73495299521629</c:v>
                </c:pt>
                <c:pt idx="221">
                  <c:v>75.906105649640281</c:v>
                </c:pt>
                <c:pt idx="222">
                  <c:v>76.076873257259223</c:v>
                </c:pt>
                <c:pt idx="223">
                  <c:v>76.247258405189982</c:v>
                </c:pt>
                <c:pt idx="224">
                  <c:v>76.417263651707302</c:v>
                </c:pt>
                <c:pt idx="225">
                  <c:v>76.586891526691943</c:v>
                </c:pt>
                <c:pt idx="226">
                  <c:v>76.756144532069939</c:v>
                </c:pt>
                <c:pt idx="227">
                  <c:v>76.925025142243143</c:v>
                </c:pt>
                <c:pt idx="228">
                  <c:v>77.093535804511333</c:v>
                </c:pt>
                <c:pt idx="229">
                  <c:v>77.261678939485932</c:v>
                </c:pt>
                <c:pt idx="230">
                  <c:v>77.429456941495687</c:v>
                </c:pt>
                <c:pt idx="231">
                  <c:v>77.59687217898454</c:v>
                </c:pt>
                <c:pt idx="232">
                  <c:v>77.763926994901681</c:v>
                </c:pt>
                <c:pt idx="233">
                  <c:v>77.930623707084038</c:v>
                </c:pt>
                <c:pt idx="234">
                  <c:v>78.096964608631623</c:v>
                </c:pt>
                <c:pt idx="235">
                  <c:v>78.262951968275445</c:v>
                </c:pt>
                <c:pt idx="236">
                  <c:v>78.428588030738638</c:v>
                </c:pt>
                <c:pt idx="237">
                  <c:v>78.593875017090568</c:v>
                </c:pt>
                <c:pt idx="238">
                  <c:v>78.758815125094316</c:v>
                </c:pt>
                <c:pt idx="239">
                  <c:v>78.923410529547667</c:v>
                </c:pt>
              </c:numCache>
            </c:numRef>
          </c:yVal>
          <c:smooth val="1"/>
          <c:extLst>
            <c:ext xmlns:c16="http://schemas.microsoft.com/office/drawing/2014/chart" uri="{C3380CC4-5D6E-409C-BE32-E72D297353CC}">
              <c16:uniqueId val="{00000004-FDAC-4F22-A5FB-122AC1C7E3AE}"/>
            </c:ext>
          </c:extLst>
        </c:ser>
        <c:ser>
          <c:idx val="3"/>
          <c:order val="2"/>
          <c:tx>
            <c:v>Flow Rate without gate (cfs)</c:v>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'Data Table Mannings (2)'!$A$35:$A$274</c:f>
              <c:numCache>
                <c:formatCode>0.00</c:formatCode>
                <c:ptCount val="2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xVal>
          <c:yVal>
            <c:numRef>
              <c:f>'Data Table Mannings (2)'!$B$35:$B$274</c:f>
              <c:numCache>
                <c:formatCode>0.00</c:formatCode>
                <c:ptCount val="240"/>
                <c:pt idx="0">
                  <c:v>8.7178805822423946E-2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numCache>
            </c:numRef>
          </c:yVal>
          <c:smooth val="1"/>
          <c:extLst>
            <c:ext xmlns:c16="http://schemas.microsoft.com/office/drawing/2014/chart" uri="{C3380CC4-5D6E-409C-BE32-E72D297353CC}">
              <c16:uniqueId val="{00000005-FDAC-4F22-A5FB-122AC1C7E3AE}"/>
            </c:ext>
          </c:extLst>
        </c:ser>
        <c:ser>
          <c:idx val="4"/>
          <c:order val="5"/>
          <c:tx>
            <c:v>Critical Flow (cfs)</c:v>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minus"/>
            <c:errValType val="percentage"/>
            <c:noEndCap val="1"/>
            <c:val val="100"/>
            <c:spPr>
              <a:noFill/>
              <a:ln w="25400" cap="flat" cmpd="sng" algn="ctr">
                <a:solidFill>
                  <a:schemeClr val="accent6">
                    <a:lumMod val="60000"/>
                    <a:lumOff val="40000"/>
                  </a:schemeClr>
                </a:solidFill>
                <a:round/>
              </a:ln>
              <a:effectLst/>
            </c:spPr>
          </c:errBars>
          <c:errBars>
            <c:errDir val="y"/>
            <c:errBarType val="both"/>
            <c:errValType val="percentage"/>
            <c:noEndCap val="0"/>
            <c:val val="5"/>
            <c:spPr>
              <a:noFill/>
              <a:ln w="9525" cap="flat" cmpd="sng" algn="ctr">
                <a:solidFill>
                  <a:schemeClr val="tx1">
                    <a:lumMod val="65000"/>
                    <a:lumOff val="35000"/>
                  </a:schemeClr>
                </a:solidFill>
                <a:round/>
              </a:ln>
              <a:effectLst/>
            </c:spPr>
          </c:errBars>
          <c:xVal>
            <c:numRef>
              <c:f>'Data Table Input'!$J$43</c:f>
              <c:numCache>
                <c:formatCode>General</c:formatCode>
                <c:ptCount val="1"/>
                <c:pt idx="0">
                  <c:v>80</c:v>
                </c:pt>
              </c:numCache>
            </c:numRef>
          </c:xVal>
          <c:yVal>
            <c:numRef>
              <c:f>'Data Table Input'!$K$43</c:f>
              <c:numCache>
                <c:formatCode>General</c:formatCode>
                <c:ptCount val="1"/>
                <c:pt idx="0">
                  <c:v>2.5</c:v>
                </c:pt>
              </c:numCache>
            </c:numRef>
          </c:yVal>
          <c:smooth val="1"/>
          <c:extLst>
            <c:ext xmlns:c16="http://schemas.microsoft.com/office/drawing/2014/chart" uri="{C3380CC4-5D6E-409C-BE32-E72D297353CC}">
              <c16:uniqueId val="{00000006-FDAC-4F22-A5FB-122AC1C7E3AE}"/>
            </c:ext>
          </c:extLst>
        </c:ser>
        <c:dLbls>
          <c:showLegendKey val="0"/>
          <c:showVal val="0"/>
          <c:showCatName val="0"/>
          <c:showSerName val="0"/>
          <c:showPercent val="0"/>
          <c:showBubbleSize val="0"/>
        </c:dLbls>
        <c:axId val="778258280"/>
        <c:axId val="778252704"/>
      </c:scatterChart>
      <c:valAx>
        <c:axId val="7838673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Height of Water (inches)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868312"/>
        <c:crosses val="autoZero"/>
        <c:crossBetween val="midCat"/>
      </c:valAx>
      <c:valAx>
        <c:axId val="783868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Velocity (fps)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solidFill>
            <a:schemeClr val="accent4">
              <a:lumMod val="60000"/>
              <a:lumOff val="40000"/>
            </a:schemeClr>
          </a:solid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867328"/>
        <c:crosses val="autoZero"/>
        <c:crossBetween val="midCat"/>
      </c:valAx>
      <c:valAx>
        <c:axId val="778252704"/>
        <c:scaling>
          <c:orientation val="minMax"/>
          <c:min val="0"/>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Flow Rate (cfs)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accent6">
                <a:lumMod val="75000"/>
              </a:schemeClr>
            </a:solidFill>
            <a:round/>
          </a:ln>
          <a:effectLst/>
        </c:spPr>
        <c:txPr>
          <a:bodyPr rot="-60000000" spcFirstLastPara="1" vertOverflow="ellipsis" vert="horz" wrap="square" anchor="ctr" anchorCtr="1"/>
          <a:lstStyle/>
          <a:p>
            <a:pPr>
              <a:defRPr sz="900" b="0" i="0" u="none" strike="noStrike" kern="1200" baseline="0">
                <a:solidFill>
                  <a:schemeClr val="accent6">
                    <a:lumMod val="75000"/>
                  </a:schemeClr>
                </a:solidFill>
                <a:latin typeface="+mn-lt"/>
                <a:ea typeface="+mn-ea"/>
                <a:cs typeface="+mn-cs"/>
              </a:defRPr>
            </a:pPr>
            <a:endParaRPr lang="en-US"/>
          </a:p>
        </c:txPr>
        <c:crossAx val="778258280"/>
        <c:crosses val="max"/>
        <c:crossBetween val="midCat"/>
      </c:valAx>
      <c:valAx>
        <c:axId val="778258280"/>
        <c:scaling>
          <c:orientation val="minMax"/>
        </c:scaling>
        <c:delete val="1"/>
        <c:axPos val="b"/>
        <c:numFmt formatCode="General" sourceLinked="1"/>
        <c:majorTickMark val="out"/>
        <c:minorTickMark val="none"/>
        <c:tickLblPos val="nextTo"/>
        <c:crossAx val="778252704"/>
        <c:crosses val="autoZero"/>
        <c:crossBetween val="midCat"/>
      </c:valAx>
      <c:spPr>
        <a:noFill/>
        <a:ln>
          <a:noFill/>
        </a:ln>
        <a:effectLst/>
      </c:spPr>
    </c:plotArea>
    <c:legend>
      <c:legendPos val="r"/>
      <c:legendEntry>
        <c:idx val="2"/>
        <c:delete val="1"/>
      </c:legendEntry>
      <c:legendEntry>
        <c:idx val="6"/>
        <c:delete val="1"/>
      </c:legendEntry>
      <c:layout>
        <c:manualLayout>
          <c:xMode val="edge"/>
          <c:yMode val="edge"/>
          <c:x val="0.61423024593510167"/>
          <c:y val="0.44119501322069132"/>
          <c:w val="0.20060187088020179"/>
          <c:h val="0.17057594073291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7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50E3971-8FEA-4863-B9A9-314F96F767BE}">
  <sheetPr codeName="Chart5"/>
  <sheetViews>
    <sheetView zoomScale="135" workbookViewId="0" zoomToFit="1"/>
  </sheetViews>
  <sheetProtection algorithmName="SHA-512" hashValue="RxMKJg5iu/Zyd4yH2XUG99OUJXJ+S0h4GrO/FuoFgh5dvBT/fRefQnLp+6VXr2H5Q2XK6On2Yf7QrOkaKmvkYQ==" saltValue="fZQXd3jkA1DCrKPZuYhGQA==" spinCount="100000" content="1" objects="1"/>
  <customSheetViews>
    <customSheetView guid="{C8C28A16-3CAD-4F54-A986-B4BB76010774}" scale="59" zoomToFit="1">
      <pageMargins left="0.7" right="0.7" top="0.75" bottom="0.75" header="0.3" footer="0.3"/>
    </customSheetView>
    <customSheetView guid="{69D25061-22BB-4069-9A58-30FF41B45BB4}" scale="59" zoomToFit="1">
      <pageMargins left="0.7" right="0.7" top="0.75" bottom="0.75" header="0.3" footer="0.3"/>
    </customSheetView>
  </custom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F3DF531-1931-4458-A856-DF700F799D4E}">
  <sheetPr codeName="Chart6"/>
  <sheetViews>
    <sheetView zoomScale="59" workbookViewId="0" zoomToFit="1"/>
  </sheetViews>
  <sheetProtection algorithmName="SHA-512" hashValue="7HtrqaYjdCUobAatw7gEMP7Xf4aAl2L5g1UOGUZJZYOkLLi7gQ1WWPJamlFa8acUhPd8fYX4lRIeh3f9tZ7ybw==" saltValue="MMn0lQ/HF4s6XoqKVgW7Zw==" spinCount="100000" content="1" objects="1"/>
  <customSheetViews>
    <customSheetView guid="{C8C28A16-3CAD-4F54-A986-B4BB76010774}" scale="59" zoomToFit="1">
      <pageMargins left="0.7" right="0.7" top="0.75" bottom="0.75" header="0.3" footer="0.3"/>
    </customSheetView>
    <customSheetView guid="{69D25061-22BB-4069-9A58-30FF41B45BB4}" scale="59" zoomToFit="1">
      <pageMargins left="0.7" right="0.7" top="0.75" bottom="0.75" header="0.3" footer="0.3"/>
    </customSheetView>
  </custom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587375</xdr:colOff>
      <xdr:row>9</xdr:row>
      <xdr:rowOff>160020</xdr:rowOff>
    </xdr:from>
    <xdr:to>
      <xdr:col>4</xdr:col>
      <xdr:colOff>401320</xdr:colOff>
      <xdr:row>19</xdr:row>
      <xdr:rowOff>48260</xdr:rowOff>
    </xdr:to>
    <xdr:pic>
      <xdr:nvPicPr>
        <xdr:cNvPr id="2" name="Picture 1">
          <a:extLst>
            <a:ext uri="{FF2B5EF4-FFF2-40B4-BE49-F238E27FC236}">
              <a16:creationId xmlns:a16="http://schemas.microsoft.com/office/drawing/2014/main" id="{86748F79-4043-41FA-83B7-C38E827CF1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7375" y="2265045"/>
          <a:ext cx="2252345" cy="1697990"/>
        </a:xfrm>
        <a:prstGeom prst="rect">
          <a:avLst/>
        </a:prstGeom>
      </xdr:spPr>
    </xdr:pic>
    <xdr:clientData/>
  </xdr:twoCellAnchor>
  <xdr:twoCellAnchor editAs="oneCell">
    <xdr:from>
      <xdr:col>5</xdr:col>
      <xdr:colOff>307340</xdr:colOff>
      <xdr:row>9</xdr:row>
      <xdr:rowOff>85725</xdr:rowOff>
    </xdr:from>
    <xdr:to>
      <xdr:col>7</xdr:col>
      <xdr:colOff>411480</xdr:colOff>
      <xdr:row>21</xdr:row>
      <xdr:rowOff>103505</xdr:rowOff>
    </xdr:to>
    <xdr:pic>
      <xdr:nvPicPr>
        <xdr:cNvPr id="3" name="Picture 2">
          <a:extLst>
            <a:ext uri="{FF2B5EF4-FFF2-40B4-BE49-F238E27FC236}">
              <a16:creationId xmlns:a16="http://schemas.microsoft.com/office/drawing/2014/main" id="{553D618D-CF6D-4C30-BEE3-9C842521D77F}"/>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078" t="9040" r="5606" b="4488"/>
        <a:stretch/>
      </xdr:blipFill>
      <xdr:spPr bwMode="auto">
        <a:xfrm>
          <a:off x="3355340" y="2190750"/>
          <a:ext cx="1323340" cy="21926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371475</xdr:colOff>
      <xdr:row>22</xdr:row>
      <xdr:rowOff>50484</xdr:rowOff>
    </xdr:from>
    <xdr:to>
      <xdr:col>8</xdr:col>
      <xdr:colOff>17606</xdr:colOff>
      <xdr:row>38</xdr:row>
      <xdr:rowOff>6968</xdr:rowOff>
    </xdr:to>
    <xdr:pic>
      <xdr:nvPicPr>
        <xdr:cNvPr id="4" name="Picture 3">
          <a:extLst>
            <a:ext uri="{FF2B5EF4-FFF2-40B4-BE49-F238E27FC236}">
              <a16:creationId xmlns:a16="http://schemas.microsoft.com/office/drawing/2014/main" id="{B6A07A80-4CB4-49B5-80F2-D240ADB216B3}"/>
            </a:ext>
          </a:extLst>
        </xdr:cNvPr>
        <xdr:cNvPicPr>
          <a:picLocks noChangeAspect="1"/>
        </xdr:cNvPicPr>
      </xdr:nvPicPr>
      <xdr:blipFill>
        <a:blip xmlns:r="http://schemas.openxmlformats.org/officeDocument/2006/relationships" r:embed="rId3"/>
        <a:stretch>
          <a:fillRect/>
        </a:stretch>
      </xdr:blipFill>
      <xdr:spPr>
        <a:xfrm>
          <a:off x="981075" y="4260534"/>
          <a:ext cx="3913331" cy="28552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243840</xdr:colOff>
      <xdr:row>5</xdr:row>
      <xdr:rowOff>129540</xdr:rowOff>
    </xdr:from>
    <xdr:to>
      <xdr:col>16</xdr:col>
      <xdr:colOff>292492</xdr:colOff>
      <xdr:row>14</xdr:row>
      <xdr:rowOff>16116</xdr:rowOff>
    </xdr:to>
    <xdr:pic>
      <xdr:nvPicPr>
        <xdr:cNvPr id="2" name="Picture 1">
          <a:extLst>
            <a:ext uri="{FF2B5EF4-FFF2-40B4-BE49-F238E27FC236}">
              <a16:creationId xmlns:a16="http://schemas.microsoft.com/office/drawing/2014/main" id="{BB4A270B-0236-4E53-B2A7-8C266A8587D8}"/>
            </a:ext>
          </a:extLst>
        </xdr:cNvPr>
        <xdr:cNvPicPr>
          <a:picLocks noChangeAspect="1"/>
        </xdr:cNvPicPr>
      </xdr:nvPicPr>
      <xdr:blipFill>
        <a:blip xmlns:r="http://schemas.openxmlformats.org/officeDocument/2006/relationships" r:embed="rId1"/>
        <a:stretch>
          <a:fillRect/>
        </a:stretch>
      </xdr:blipFill>
      <xdr:spPr>
        <a:xfrm>
          <a:off x="12118340" y="1726565"/>
          <a:ext cx="4319027" cy="20900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297370</xdr:colOff>
      <xdr:row>21</xdr:row>
      <xdr:rowOff>122820</xdr:rowOff>
    </xdr:to>
    <xdr:pic>
      <xdr:nvPicPr>
        <xdr:cNvPr id="2" name="Picture 1">
          <a:extLst>
            <a:ext uri="{FF2B5EF4-FFF2-40B4-BE49-F238E27FC236}">
              <a16:creationId xmlns:a16="http://schemas.microsoft.com/office/drawing/2014/main" id="{EAC89A97-0999-4BFE-A132-CA67CF05779D}"/>
            </a:ext>
          </a:extLst>
        </xdr:cNvPr>
        <xdr:cNvPicPr>
          <a:picLocks noChangeAspect="1"/>
        </xdr:cNvPicPr>
      </xdr:nvPicPr>
      <xdr:blipFill>
        <a:blip xmlns:r="http://schemas.openxmlformats.org/officeDocument/2006/relationships" r:embed="rId1"/>
        <a:stretch>
          <a:fillRect/>
        </a:stretch>
      </xdr:blipFill>
      <xdr:spPr>
        <a:xfrm>
          <a:off x="8210550" y="1031240"/>
          <a:ext cx="3599370" cy="2923805"/>
        </a:xfrm>
        <a:prstGeom prst="rect">
          <a:avLst/>
        </a:prstGeom>
      </xdr:spPr>
    </xdr:pic>
    <xdr:clientData/>
  </xdr:twoCellAnchor>
  <xdr:twoCellAnchor editAs="oneCell">
    <xdr:from>
      <xdr:col>5</xdr:col>
      <xdr:colOff>266700</xdr:colOff>
      <xdr:row>2</xdr:row>
      <xdr:rowOff>137161</xdr:rowOff>
    </xdr:from>
    <xdr:to>
      <xdr:col>13</xdr:col>
      <xdr:colOff>237675</xdr:colOff>
      <xdr:row>24</xdr:row>
      <xdr:rowOff>145247</xdr:rowOff>
    </xdr:to>
    <xdr:pic>
      <xdr:nvPicPr>
        <xdr:cNvPr id="3" name="Picture 2">
          <a:extLst>
            <a:ext uri="{FF2B5EF4-FFF2-40B4-BE49-F238E27FC236}">
              <a16:creationId xmlns:a16="http://schemas.microsoft.com/office/drawing/2014/main" id="{EDA378F4-E70F-4096-B69B-4758DE374448}"/>
            </a:ext>
          </a:extLst>
        </xdr:cNvPr>
        <xdr:cNvPicPr>
          <a:picLocks noChangeAspect="1"/>
        </xdr:cNvPicPr>
      </xdr:nvPicPr>
      <xdr:blipFill>
        <a:blip xmlns:r="http://schemas.openxmlformats.org/officeDocument/2006/relationships" r:embed="rId2"/>
        <a:stretch>
          <a:fillRect/>
        </a:stretch>
      </xdr:blipFill>
      <xdr:spPr>
        <a:xfrm>
          <a:off x="8172450" y="502286"/>
          <a:ext cx="5841550" cy="4011761"/>
        </a:xfrm>
        <a:prstGeom prst="rect">
          <a:avLst/>
        </a:prstGeom>
      </xdr:spPr>
    </xdr:pic>
    <xdr:clientData/>
  </xdr:twoCellAnchor>
  <xdr:twoCellAnchor editAs="oneCell">
    <xdr:from>
      <xdr:col>4</xdr:col>
      <xdr:colOff>438150</xdr:colOff>
      <xdr:row>27</xdr:row>
      <xdr:rowOff>95250</xdr:rowOff>
    </xdr:from>
    <xdr:to>
      <xdr:col>5</xdr:col>
      <xdr:colOff>517231</xdr:colOff>
      <xdr:row>30</xdr:row>
      <xdr:rowOff>38039</xdr:rowOff>
    </xdr:to>
    <xdr:pic>
      <xdr:nvPicPr>
        <xdr:cNvPr id="4" name="Picture 3">
          <a:extLst>
            <a:ext uri="{FF2B5EF4-FFF2-40B4-BE49-F238E27FC236}">
              <a16:creationId xmlns:a16="http://schemas.microsoft.com/office/drawing/2014/main" id="{E3090718-C41F-4E54-9160-E27D425844DC}"/>
            </a:ext>
          </a:extLst>
        </xdr:cNvPr>
        <xdr:cNvPicPr>
          <a:picLocks noChangeAspect="1"/>
        </xdr:cNvPicPr>
      </xdr:nvPicPr>
      <xdr:blipFill>
        <a:blip xmlns:r="http://schemas.openxmlformats.org/officeDocument/2006/relationships" r:embed="rId3"/>
        <a:stretch>
          <a:fillRect/>
        </a:stretch>
      </xdr:blipFill>
      <xdr:spPr>
        <a:xfrm>
          <a:off x="6029325" y="5010150"/>
          <a:ext cx="2393656" cy="485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541210</xdr:colOff>
      <xdr:row>21</xdr:row>
      <xdr:rowOff>122820</xdr:rowOff>
    </xdr:to>
    <xdr:pic>
      <xdr:nvPicPr>
        <xdr:cNvPr id="2" name="Picture 1">
          <a:extLst>
            <a:ext uri="{FF2B5EF4-FFF2-40B4-BE49-F238E27FC236}">
              <a16:creationId xmlns:a16="http://schemas.microsoft.com/office/drawing/2014/main" id="{837FA794-8FF1-423F-ABC1-09A12E14DAE3}"/>
            </a:ext>
          </a:extLst>
        </xdr:cNvPr>
        <xdr:cNvPicPr>
          <a:picLocks noChangeAspect="1"/>
        </xdr:cNvPicPr>
      </xdr:nvPicPr>
      <xdr:blipFill>
        <a:blip xmlns:r="http://schemas.openxmlformats.org/officeDocument/2006/relationships" r:embed="rId1"/>
        <a:stretch>
          <a:fillRect/>
        </a:stretch>
      </xdr:blipFill>
      <xdr:spPr>
        <a:xfrm>
          <a:off x="5295900" y="1031240"/>
          <a:ext cx="3582860" cy="2923805"/>
        </a:xfrm>
        <a:prstGeom prst="rect">
          <a:avLst/>
        </a:prstGeom>
      </xdr:spPr>
    </xdr:pic>
    <xdr:clientData/>
  </xdr:twoCellAnchor>
  <xdr:twoCellAnchor editAs="oneCell">
    <xdr:from>
      <xdr:col>5</xdr:col>
      <xdr:colOff>266700</xdr:colOff>
      <xdr:row>2</xdr:row>
      <xdr:rowOff>137161</xdr:rowOff>
    </xdr:from>
    <xdr:to>
      <xdr:col>14</xdr:col>
      <xdr:colOff>275775</xdr:colOff>
      <xdr:row>24</xdr:row>
      <xdr:rowOff>145247</xdr:rowOff>
    </xdr:to>
    <xdr:pic>
      <xdr:nvPicPr>
        <xdr:cNvPr id="3" name="Picture 2">
          <a:extLst>
            <a:ext uri="{FF2B5EF4-FFF2-40B4-BE49-F238E27FC236}">
              <a16:creationId xmlns:a16="http://schemas.microsoft.com/office/drawing/2014/main" id="{5EFB9629-BAF2-4E32-A904-621085225EA4}"/>
            </a:ext>
          </a:extLst>
        </xdr:cNvPr>
        <xdr:cNvPicPr>
          <a:picLocks noChangeAspect="1"/>
        </xdr:cNvPicPr>
      </xdr:nvPicPr>
      <xdr:blipFill>
        <a:blip xmlns:r="http://schemas.openxmlformats.org/officeDocument/2006/relationships" r:embed="rId2"/>
        <a:stretch>
          <a:fillRect/>
        </a:stretch>
      </xdr:blipFill>
      <xdr:spPr>
        <a:xfrm>
          <a:off x="5257800" y="502286"/>
          <a:ext cx="5793925" cy="4011761"/>
        </a:xfrm>
        <a:prstGeom prst="rect">
          <a:avLst/>
        </a:prstGeom>
      </xdr:spPr>
    </xdr:pic>
    <xdr:clientData/>
  </xdr:twoCellAnchor>
  <xdr:twoCellAnchor editAs="oneCell">
    <xdr:from>
      <xdr:col>4</xdr:col>
      <xdr:colOff>438150</xdr:colOff>
      <xdr:row>21</xdr:row>
      <xdr:rowOff>95250</xdr:rowOff>
    </xdr:from>
    <xdr:to>
      <xdr:col>8</xdr:col>
      <xdr:colOff>370546</xdr:colOff>
      <xdr:row>24</xdr:row>
      <xdr:rowOff>38039</xdr:rowOff>
    </xdr:to>
    <xdr:pic>
      <xdr:nvPicPr>
        <xdr:cNvPr id="4" name="Picture 3">
          <a:extLst>
            <a:ext uri="{FF2B5EF4-FFF2-40B4-BE49-F238E27FC236}">
              <a16:creationId xmlns:a16="http://schemas.microsoft.com/office/drawing/2014/main" id="{AE8D4BBF-367F-43D8-BEA9-B65F5B08F35E}"/>
            </a:ext>
          </a:extLst>
        </xdr:cNvPr>
        <xdr:cNvPicPr>
          <a:picLocks noChangeAspect="1"/>
        </xdr:cNvPicPr>
      </xdr:nvPicPr>
      <xdr:blipFill>
        <a:blip xmlns:r="http://schemas.openxmlformats.org/officeDocument/2006/relationships" r:embed="rId3"/>
        <a:stretch>
          <a:fillRect/>
        </a:stretch>
      </xdr:blipFill>
      <xdr:spPr>
        <a:xfrm>
          <a:off x="4819650" y="3924300"/>
          <a:ext cx="2373971" cy="4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297370</xdr:colOff>
      <xdr:row>21</xdr:row>
      <xdr:rowOff>122820</xdr:rowOff>
    </xdr:to>
    <xdr:pic>
      <xdr:nvPicPr>
        <xdr:cNvPr id="2" name="Picture 1">
          <a:extLst>
            <a:ext uri="{FF2B5EF4-FFF2-40B4-BE49-F238E27FC236}">
              <a16:creationId xmlns:a16="http://schemas.microsoft.com/office/drawing/2014/main" id="{1FAAC046-10B5-4EDA-96AD-DB8853FACAD2}"/>
            </a:ext>
          </a:extLst>
        </xdr:cNvPr>
        <xdr:cNvPicPr>
          <a:picLocks noChangeAspect="1"/>
        </xdr:cNvPicPr>
      </xdr:nvPicPr>
      <xdr:blipFill>
        <a:blip xmlns:r="http://schemas.openxmlformats.org/officeDocument/2006/relationships" r:embed="rId1"/>
        <a:stretch>
          <a:fillRect/>
        </a:stretch>
      </xdr:blipFill>
      <xdr:spPr>
        <a:xfrm>
          <a:off x="8204200" y="1050290"/>
          <a:ext cx="3599370" cy="2965080"/>
        </a:xfrm>
        <a:prstGeom prst="rect">
          <a:avLst/>
        </a:prstGeom>
      </xdr:spPr>
    </xdr:pic>
    <xdr:clientData/>
  </xdr:twoCellAnchor>
  <xdr:twoCellAnchor editAs="oneCell">
    <xdr:from>
      <xdr:col>5</xdr:col>
      <xdr:colOff>266700</xdr:colOff>
      <xdr:row>2</xdr:row>
      <xdr:rowOff>137161</xdr:rowOff>
    </xdr:from>
    <xdr:to>
      <xdr:col>13</xdr:col>
      <xdr:colOff>237675</xdr:colOff>
      <xdr:row>24</xdr:row>
      <xdr:rowOff>145247</xdr:rowOff>
    </xdr:to>
    <xdr:pic>
      <xdr:nvPicPr>
        <xdr:cNvPr id="3" name="Picture 2">
          <a:extLst>
            <a:ext uri="{FF2B5EF4-FFF2-40B4-BE49-F238E27FC236}">
              <a16:creationId xmlns:a16="http://schemas.microsoft.com/office/drawing/2014/main" id="{50F4C003-A819-4E9C-A0B5-0896B0F521E7}"/>
            </a:ext>
          </a:extLst>
        </xdr:cNvPr>
        <xdr:cNvPicPr>
          <a:picLocks noChangeAspect="1"/>
        </xdr:cNvPicPr>
      </xdr:nvPicPr>
      <xdr:blipFill>
        <a:blip xmlns:r="http://schemas.openxmlformats.org/officeDocument/2006/relationships" r:embed="rId2"/>
        <a:stretch>
          <a:fillRect/>
        </a:stretch>
      </xdr:blipFill>
      <xdr:spPr>
        <a:xfrm>
          <a:off x="8166100" y="505461"/>
          <a:ext cx="5832025" cy="4084786"/>
        </a:xfrm>
        <a:prstGeom prst="rect">
          <a:avLst/>
        </a:prstGeom>
      </xdr:spPr>
    </xdr:pic>
    <xdr:clientData/>
  </xdr:twoCellAnchor>
  <xdr:twoCellAnchor editAs="oneCell">
    <xdr:from>
      <xdr:col>4</xdr:col>
      <xdr:colOff>438150</xdr:colOff>
      <xdr:row>27</xdr:row>
      <xdr:rowOff>95250</xdr:rowOff>
    </xdr:from>
    <xdr:to>
      <xdr:col>5</xdr:col>
      <xdr:colOff>517231</xdr:colOff>
      <xdr:row>30</xdr:row>
      <xdr:rowOff>38039</xdr:rowOff>
    </xdr:to>
    <xdr:pic>
      <xdr:nvPicPr>
        <xdr:cNvPr id="4" name="Picture 3">
          <a:extLst>
            <a:ext uri="{FF2B5EF4-FFF2-40B4-BE49-F238E27FC236}">
              <a16:creationId xmlns:a16="http://schemas.microsoft.com/office/drawing/2014/main" id="{F8BE9CA1-078D-4607-A2B2-6505F3BA22D1}"/>
            </a:ext>
          </a:extLst>
        </xdr:cNvPr>
        <xdr:cNvPicPr>
          <a:picLocks noChangeAspect="1"/>
        </xdr:cNvPicPr>
      </xdr:nvPicPr>
      <xdr:blipFill>
        <a:blip xmlns:r="http://schemas.openxmlformats.org/officeDocument/2006/relationships" r:embed="rId3"/>
        <a:stretch>
          <a:fillRect/>
        </a:stretch>
      </xdr:blipFill>
      <xdr:spPr>
        <a:xfrm>
          <a:off x="6026150" y="5092700"/>
          <a:ext cx="2390481" cy="495239"/>
        </a:xfrm>
        <a:prstGeom prst="rect">
          <a:avLst/>
        </a:prstGeom>
      </xdr:spPr>
    </xdr:pic>
    <xdr:clientData/>
  </xdr:twoCellAnchor>
  <xdr:twoCellAnchor>
    <xdr:from>
      <xdr:col>29</xdr:col>
      <xdr:colOff>333375</xdr:colOff>
      <xdr:row>4</xdr:row>
      <xdr:rowOff>9525</xdr:rowOff>
    </xdr:from>
    <xdr:to>
      <xdr:col>32</xdr:col>
      <xdr:colOff>514350</xdr:colOff>
      <xdr:row>14</xdr:row>
      <xdr:rowOff>130175</xdr:rowOff>
    </xdr:to>
    <xdr:sp macro="" textlink="">
      <xdr:nvSpPr>
        <xdr:cNvPr id="5" name="Oval 4">
          <a:extLst>
            <a:ext uri="{FF2B5EF4-FFF2-40B4-BE49-F238E27FC236}">
              <a16:creationId xmlns:a16="http://schemas.microsoft.com/office/drawing/2014/main" id="{FDE87614-3514-4AE3-AA51-166B063DF0B6}"/>
            </a:ext>
          </a:extLst>
        </xdr:cNvPr>
        <xdr:cNvSpPr/>
      </xdr:nvSpPr>
      <xdr:spPr>
        <a:xfrm>
          <a:off x="25485725" y="746125"/>
          <a:ext cx="2009775" cy="1987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323850</xdr:colOff>
      <xdr:row>2</xdr:row>
      <xdr:rowOff>161925</xdr:rowOff>
    </xdr:from>
    <xdr:to>
      <xdr:col>32</xdr:col>
      <xdr:colOff>495300</xdr:colOff>
      <xdr:row>2</xdr:row>
      <xdr:rowOff>161925</xdr:rowOff>
    </xdr:to>
    <xdr:cxnSp macro="">
      <xdr:nvCxnSpPr>
        <xdr:cNvPr id="6" name="Straight Arrow Connector 5">
          <a:extLst>
            <a:ext uri="{FF2B5EF4-FFF2-40B4-BE49-F238E27FC236}">
              <a16:creationId xmlns:a16="http://schemas.microsoft.com/office/drawing/2014/main" id="{F088ED8B-2432-4FEA-8463-C9DE0E9A39DB}"/>
            </a:ext>
          </a:extLst>
        </xdr:cNvPr>
        <xdr:cNvCxnSpPr/>
      </xdr:nvCxnSpPr>
      <xdr:spPr>
        <a:xfrm flipV="1">
          <a:off x="25476200" y="530225"/>
          <a:ext cx="2000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3</xdr:row>
      <xdr:rowOff>104775</xdr:rowOff>
    </xdr:from>
    <xdr:to>
      <xdr:col>33</xdr:col>
      <xdr:colOff>25400</xdr:colOff>
      <xdr:row>12</xdr:row>
      <xdr:rowOff>161925</xdr:rowOff>
    </xdr:to>
    <xdr:sp macro="" textlink="">
      <xdr:nvSpPr>
        <xdr:cNvPr id="7" name="Rectangle 6">
          <a:extLst>
            <a:ext uri="{FF2B5EF4-FFF2-40B4-BE49-F238E27FC236}">
              <a16:creationId xmlns:a16="http://schemas.microsoft.com/office/drawing/2014/main" id="{1E682B1C-B476-4288-B43D-CA900486BA0C}"/>
            </a:ext>
          </a:extLst>
        </xdr:cNvPr>
        <xdr:cNvSpPr/>
      </xdr:nvSpPr>
      <xdr:spPr>
        <a:xfrm>
          <a:off x="25314275" y="657225"/>
          <a:ext cx="2301875" cy="1714500"/>
        </a:xfrm>
        <a:prstGeom prst="rect">
          <a:avLst/>
        </a:prstGeom>
        <a:solidFill>
          <a:schemeClr val="accent1">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294195</xdr:colOff>
      <xdr:row>21</xdr:row>
      <xdr:rowOff>125995</xdr:rowOff>
    </xdr:to>
    <xdr:pic>
      <xdr:nvPicPr>
        <xdr:cNvPr id="2" name="Picture 1">
          <a:extLst>
            <a:ext uri="{FF2B5EF4-FFF2-40B4-BE49-F238E27FC236}">
              <a16:creationId xmlns:a16="http://schemas.microsoft.com/office/drawing/2014/main" id="{325323D2-3B71-42F1-911F-2C0B055A873B}"/>
            </a:ext>
          </a:extLst>
        </xdr:cNvPr>
        <xdr:cNvPicPr>
          <a:picLocks noChangeAspect="1"/>
        </xdr:cNvPicPr>
      </xdr:nvPicPr>
      <xdr:blipFill>
        <a:blip xmlns:r="http://schemas.openxmlformats.org/officeDocument/2006/relationships" r:embed="rId1"/>
        <a:stretch>
          <a:fillRect/>
        </a:stretch>
      </xdr:blipFill>
      <xdr:spPr>
        <a:xfrm>
          <a:off x="8204200" y="1050290"/>
          <a:ext cx="3596195" cy="2968255"/>
        </a:xfrm>
        <a:prstGeom prst="rect">
          <a:avLst/>
        </a:prstGeom>
      </xdr:spPr>
    </xdr:pic>
    <xdr:clientData/>
  </xdr:twoCellAnchor>
  <xdr:twoCellAnchor editAs="oneCell">
    <xdr:from>
      <xdr:col>5</xdr:col>
      <xdr:colOff>266700</xdr:colOff>
      <xdr:row>2</xdr:row>
      <xdr:rowOff>137161</xdr:rowOff>
    </xdr:from>
    <xdr:to>
      <xdr:col>13</xdr:col>
      <xdr:colOff>240850</xdr:colOff>
      <xdr:row>24</xdr:row>
      <xdr:rowOff>142072</xdr:rowOff>
    </xdr:to>
    <xdr:pic>
      <xdr:nvPicPr>
        <xdr:cNvPr id="3" name="Picture 2">
          <a:extLst>
            <a:ext uri="{FF2B5EF4-FFF2-40B4-BE49-F238E27FC236}">
              <a16:creationId xmlns:a16="http://schemas.microsoft.com/office/drawing/2014/main" id="{F2F359F6-1FF1-47F1-9763-B54F0BE8B078}"/>
            </a:ext>
          </a:extLst>
        </xdr:cNvPr>
        <xdr:cNvPicPr>
          <a:picLocks noChangeAspect="1"/>
        </xdr:cNvPicPr>
      </xdr:nvPicPr>
      <xdr:blipFill>
        <a:blip xmlns:r="http://schemas.openxmlformats.org/officeDocument/2006/relationships" r:embed="rId2"/>
        <a:stretch>
          <a:fillRect/>
        </a:stretch>
      </xdr:blipFill>
      <xdr:spPr>
        <a:xfrm>
          <a:off x="8166100" y="505461"/>
          <a:ext cx="5835200" cy="4081611"/>
        </a:xfrm>
        <a:prstGeom prst="rect">
          <a:avLst/>
        </a:prstGeom>
      </xdr:spPr>
    </xdr:pic>
    <xdr:clientData/>
  </xdr:twoCellAnchor>
  <xdr:twoCellAnchor>
    <xdr:from>
      <xdr:col>29</xdr:col>
      <xdr:colOff>333375</xdr:colOff>
      <xdr:row>4</xdr:row>
      <xdr:rowOff>9525</xdr:rowOff>
    </xdr:from>
    <xdr:to>
      <xdr:col>32</xdr:col>
      <xdr:colOff>514350</xdr:colOff>
      <xdr:row>14</xdr:row>
      <xdr:rowOff>130175</xdr:rowOff>
    </xdr:to>
    <xdr:sp macro="" textlink="">
      <xdr:nvSpPr>
        <xdr:cNvPr id="4" name="Oval 3">
          <a:extLst>
            <a:ext uri="{FF2B5EF4-FFF2-40B4-BE49-F238E27FC236}">
              <a16:creationId xmlns:a16="http://schemas.microsoft.com/office/drawing/2014/main" id="{A14DDB81-F3CA-4645-80BF-F3615832BE82}"/>
            </a:ext>
          </a:extLst>
        </xdr:cNvPr>
        <xdr:cNvSpPr/>
      </xdr:nvSpPr>
      <xdr:spPr>
        <a:xfrm>
          <a:off x="25485725" y="746125"/>
          <a:ext cx="2009775" cy="1987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323850</xdr:colOff>
      <xdr:row>2</xdr:row>
      <xdr:rowOff>161925</xdr:rowOff>
    </xdr:from>
    <xdr:to>
      <xdr:col>32</xdr:col>
      <xdr:colOff>495300</xdr:colOff>
      <xdr:row>2</xdr:row>
      <xdr:rowOff>161925</xdr:rowOff>
    </xdr:to>
    <xdr:cxnSp macro="">
      <xdr:nvCxnSpPr>
        <xdr:cNvPr id="5" name="Straight Arrow Connector 4">
          <a:extLst>
            <a:ext uri="{FF2B5EF4-FFF2-40B4-BE49-F238E27FC236}">
              <a16:creationId xmlns:a16="http://schemas.microsoft.com/office/drawing/2014/main" id="{CE363630-79D7-4EEB-B9F0-3A01702F34C7}"/>
            </a:ext>
          </a:extLst>
        </xdr:cNvPr>
        <xdr:cNvCxnSpPr/>
      </xdr:nvCxnSpPr>
      <xdr:spPr>
        <a:xfrm flipV="1">
          <a:off x="25476200" y="530225"/>
          <a:ext cx="2000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3</xdr:row>
      <xdr:rowOff>104775</xdr:rowOff>
    </xdr:from>
    <xdr:to>
      <xdr:col>33</xdr:col>
      <xdr:colOff>25400</xdr:colOff>
      <xdr:row>12</xdr:row>
      <xdr:rowOff>161925</xdr:rowOff>
    </xdr:to>
    <xdr:sp macro="" textlink="">
      <xdr:nvSpPr>
        <xdr:cNvPr id="6" name="Rectangle 5">
          <a:extLst>
            <a:ext uri="{FF2B5EF4-FFF2-40B4-BE49-F238E27FC236}">
              <a16:creationId xmlns:a16="http://schemas.microsoft.com/office/drawing/2014/main" id="{DD4033F8-AEDB-4F8F-8CE7-18D50CF8C189}"/>
            </a:ext>
          </a:extLst>
        </xdr:cNvPr>
        <xdr:cNvSpPr/>
      </xdr:nvSpPr>
      <xdr:spPr>
        <a:xfrm>
          <a:off x="25314275" y="657225"/>
          <a:ext cx="2301875" cy="1714500"/>
        </a:xfrm>
        <a:prstGeom prst="rect">
          <a:avLst/>
        </a:prstGeom>
        <a:solidFill>
          <a:schemeClr val="accent1">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544385</xdr:colOff>
      <xdr:row>21</xdr:row>
      <xdr:rowOff>119645</xdr:rowOff>
    </xdr:to>
    <xdr:pic>
      <xdr:nvPicPr>
        <xdr:cNvPr id="2" name="Picture 1">
          <a:extLst>
            <a:ext uri="{FF2B5EF4-FFF2-40B4-BE49-F238E27FC236}">
              <a16:creationId xmlns:a16="http://schemas.microsoft.com/office/drawing/2014/main" id="{0AC6D58B-BAB8-47A8-98C2-2771BAAA9656}"/>
            </a:ext>
          </a:extLst>
        </xdr:cNvPr>
        <xdr:cNvPicPr>
          <a:picLocks noChangeAspect="1"/>
        </xdr:cNvPicPr>
      </xdr:nvPicPr>
      <xdr:blipFill>
        <a:blip xmlns:r="http://schemas.openxmlformats.org/officeDocument/2006/relationships" r:embed="rId1"/>
        <a:stretch>
          <a:fillRect/>
        </a:stretch>
      </xdr:blipFill>
      <xdr:spPr>
        <a:xfrm>
          <a:off x="5289550" y="1050290"/>
          <a:ext cx="3579685" cy="2961905"/>
        </a:xfrm>
        <a:prstGeom prst="rect">
          <a:avLst/>
        </a:prstGeom>
      </xdr:spPr>
    </xdr:pic>
    <xdr:clientData/>
  </xdr:twoCellAnchor>
  <xdr:twoCellAnchor editAs="oneCell">
    <xdr:from>
      <xdr:col>5</xdr:col>
      <xdr:colOff>266700</xdr:colOff>
      <xdr:row>2</xdr:row>
      <xdr:rowOff>137161</xdr:rowOff>
    </xdr:from>
    <xdr:to>
      <xdr:col>14</xdr:col>
      <xdr:colOff>278950</xdr:colOff>
      <xdr:row>24</xdr:row>
      <xdr:rowOff>148422</xdr:rowOff>
    </xdr:to>
    <xdr:pic>
      <xdr:nvPicPr>
        <xdr:cNvPr id="3" name="Picture 2">
          <a:extLst>
            <a:ext uri="{FF2B5EF4-FFF2-40B4-BE49-F238E27FC236}">
              <a16:creationId xmlns:a16="http://schemas.microsoft.com/office/drawing/2014/main" id="{95239A9A-0070-48CB-8379-1293DA2FDC96}"/>
            </a:ext>
          </a:extLst>
        </xdr:cNvPr>
        <xdr:cNvPicPr>
          <a:picLocks noChangeAspect="1"/>
        </xdr:cNvPicPr>
      </xdr:nvPicPr>
      <xdr:blipFill>
        <a:blip xmlns:r="http://schemas.openxmlformats.org/officeDocument/2006/relationships" r:embed="rId2"/>
        <a:stretch>
          <a:fillRect/>
        </a:stretch>
      </xdr:blipFill>
      <xdr:spPr>
        <a:xfrm>
          <a:off x="5251450" y="505461"/>
          <a:ext cx="5790750" cy="4087961"/>
        </a:xfrm>
        <a:prstGeom prst="rect">
          <a:avLst/>
        </a:prstGeom>
      </xdr:spPr>
    </xdr:pic>
    <xdr:clientData/>
  </xdr:twoCellAnchor>
  <xdr:twoCellAnchor editAs="oneCell">
    <xdr:from>
      <xdr:col>4</xdr:col>
      <xdr:colOff>438150</xdr:colOff>
      <xdr:row>21</xdr:row>
      <xdr:rowOff>95250</xdr:rowOff>
    </xdr:from>
    <xdr:to>
      <xdr:col>8</xdr:col>
      <xdr:colOff>367371</xdr:colOff>
      <xdr:row>24</xdr:row>
      <xdr:rowOff>38039</xdr:rowOff>
    </xdr:to>
    <xdr:pic>
      <xdr:nvPicPr>
        <xdr:cNvPr id="4" name="Picture 3">
          <a:extLst>
            <a:ext uri="{FF2B5EF4-FFF2-40B4-BE49-F238E27FC236}">
              <a16:creationId xmlns:a16="http://schemas.microsoft.com/office/drawing/2014/main" id="{AD8BFB57-0C5C-43C1-A2EB-62EA878547CD}"/>
            </a:ext>
          </a:extLst>
        </xdr:cNvPr>
        <xdr:cNvPicPr>
          <a:picLocks noChangeAspect="1"/>
        </xdr:cNvPicPr>
      </xdr:nvPicPr>
      <xdr:blipFill>
        <a:blip xmlns:r="http://schemas.openxmlformats.org/officeDocument/2006/relationships" r:embed="rId3"/>
        <a:stretch>
          <a:fillRect/>
        </a:stretch>
      </xdr:blipFill>
      <xdr:spPr>
        <a:xfrm>
          <a:off x="4813300" y="3987800"/>
          <a:ext cx="2367621" cy="4952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381000</xdr:colOff>
      <xdr:row>22</xdr:row>
      <xdr:rowOff>177800</xdr:rowOff>
    </xdr:from>
    <xdr:to>
      <xdr:col>18</xdr:col>
      <xdr:colOff>209863</xdr:colOff>
      <xdr:row>53</xdr:row>
      <xdr:rowOff>146229</xdr:rowOff>
    </xdr:to>
    <xdr:pic>
      <xdr:nvPicPr>
        <xdr:cNvPr id="2" name="Picture 1">
          <a:extLst>
            <a:ext uri="{FF2B5EF4-FFF2-40B4-BE49-F238E27FC236}">
              <a16:creationId xmlns:a16="http://schemas.microsoft.com/office/drawing/2014/main" id="{CF0D628C-6CB8-4749-BC84-23B82A132A59}"/>
            </a:ext>
          </a:extLst>
        </xdr:cNvPr>
        <xdr:cNvPicPr>
          <a:picLocks noChangeAspect="1"/>
        </xdr:cNvPicPr>
      </xdr:nvPicPr>
      <xdr:blipFill>
        <a:blip xmlns:r="http://schemas.openxmlformats.org/officeDocument/2006/relationships" r:embed="rId1"/>
        <a:stretch>
          <a:fillRect/>
        </a:stretch>
      </xdr:blipFill>
      <xdr:spPr>
        <a:xfrm>
          <a:off x="11163300" y="5092700"/>
          <a:ext cx="6096313" cy="349267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297370</xdr:colOff>
      <xdr:row>21</xdr:row>
      <xdr:rowOff>122820</xdr:rowOff>
    </xdr:to>
    <xdr:pic>
      <xdr:nvPicPr>
        <xdr:cNvPr id="2" name="Picture 1">
          <a:extLst>
            <a:ext uri="{FF2B5EF4-FFF2-40B4-BE49-F238E27FC236}">
              <a16:creationId xmlns:a16="http://schemas.microsoft.com/office/drawing/2014/main" id="{681C9361-D749-4787-A25E-237C3CEC2068}"/>
            </a:ext>
          </a:extLst>
        </xdr:cNvPr>
        <xdr:cNvPicPr>
          <a:picLocks noChangeAspect="1"/>
        </xdr:cNvPicPr>
      </xdr:nvPicPr>
      <xdr:blipFill>
        <a:blip xmlns:r="http://schemas.openxmlformats.org/officeDocument/2006/relationships" r:embed="rId1"/>
        <a:stretch>
          <a:fillRect/>
        </a:stretch>
      </xdr:blipFill>
      <xdr:spPr>
        <a:xfrm>
          <a:off x="8204200" y="1050290"/>
          <a:ext cx="3599370" cy="2965080"/>
        </a:xfrm>
        <a:prstGeom prst="rect">
          <a:avLst/>
        </a:prstGeom>
      </xdr:spPr>
    </xdr:pic>
    <xdr:clientData/>
  </xdr:twoCellAnchor>
  <xdr:twoCellAnchor editAs="oneCell">
    <xdr:from>
      <xdr:col>5</xdr:col>
      <xdr:colOff>266700</xdr:colOff>
      <xdr:row>2</xdr:row>
      <xdr:rowOff>137161</xdr:rowOff>
    </xdr:from>
    <xdr:to>
      <xdr:col>13</xdr:col>
      <xdr:colOff>237675</xdr:colOff>
      <xdr:row>24</xdr:row>
      <xdr:rowOff>145247</xdr:rowOff>
    </xdr:to>
    <xdr:pic>
      <xdr:nvPicPr>
        <xdr:cNvPr id="3" name="Picture 2">
          <a:extLst>
            <a:ext uri="{FF2B5EF4-FFF2-40B4-BE49-F238E27FC236}">
              <a16:creationId xmlns:a16="http://schemas.microsoft.com/office/drawing/2014/main" id="{1200E141-08D3-4B5A-B80C-CF5D4EAAC059}"/>
            </a:ext>
          </a:extLst>
        </xdr:cNvPr>
        <xdr:cNvPicPr>
          <a:picLocks noChangeAspect="1"/>
        </xdr:cNvPicPr>
      </xdr:nvPicPr>
      <xdr:blipFill>
        <a:blip xmlns:r="http://schemas.openxmlformats.org/officeDocument/2006/relationships" r:embed="rId2"/>
        <a:stretch>
          <a:fillRect/>
        </a:stretch>
      </xdr:blipFill>
      <xdr:spPr>
        <a:xfrm>
          <a:off x="8166100" y="505461"/>
          <a:ext cx="5832025" cy="4084786"/>
        </a:xfrm>
        <a:prstGeom prst="rect">
          <a:avLst/>
        </a:prstGeom>
      </xdr:spPr>
    </xdr:pic>
    <xdr:clientData/>
  </xdr:twoCellAnchor>
  <xdr:twoCellAnchor editAs="oneCell">
    <xdr:from>
      <xdr:col>4</xdr:col>
      <xdr:colOff>438150</xdr:colOff>
      <xdr:row>27</xdr:row>
      <xdr:rowOff>95250</xdr:rowOff>
    </xdr:from>
    <xdr:to>
      <xdr:col>5</xdr:col>
      <xdr:colOff>517231</xdr:colOff>
      <xdr:row>30</xdr:row>
      <xdr:rowOff>38039</xdr:rowOff>
    </xdr:to>
    <xdr:pic>
      <xdr:nvPicPr>
        <xdr:cNvPr id="4" name="Picture 3">
          <a:extLst>
            <a:ext uri="{FF2B5EF4-FFF2-40B4-BE49-F238E27FC236}">
              <a16:creationId xmlns:a16="http://schemas.microsoft.com/office/drawing/2014/main" id="{6B69940D-5D41-4F5D-959F-378255C7B682}"/>
            </a:ext>
          </a:extLst>
        </xdr:cNvPr>
        <xdr:cNvPicPr>
          <a:picLocks noChangeAspect="1"/>
        </xdr:cNvPicPr>
      </xdr:nvPicPr>
      <xdr:blipFill>
        <a:blip xmlns:r="http://schemas.openxmlformats.org/officeDocument/2006/relationships" r:embed="rId3"/>
        <a:stretch>
          <a:fillRect/>
        </a:stretch>
      </xdr:blipFill>
      <xdr:spPr>
        <a:xfrm>
          <a:off x="6026150" y="5092700"/>
          <a:ext cx="2390481" cy="495239"/>
        </a:xfrm>
        <a:prstGeom prst="rect">
          <a:avLst/>
        </a:prstGeom>
      </xdr:spPr>
    </xdr:pic>
    <xdr:clientData/>
  </xdr:twoCellAnchor>
  <xdr:twoCellAnchor>
    <xdr:from>
      <xdr:col>29</xdr:col>
      <xdr:colOff>333375</xdr:colOff>
      <xdr:row>4</xdr:row>
      <xdr:rowOff>9525</xdr:rowOff>
    </xdr:from>
    <xdr:to>
      <xdr:col>32</xdr:col>
      <xdr:colOff>514350</xdr:colOff>
      <xdr:row>14</xdr:row>
      <xdr:rowOff>130175</xdr:rowOff>
    </xdr:to>
    <xdr:sp macro="" textlink="">
      <xdr:nvSpPr>
        <xdr:cNvPr id="5" name="Oval 4">
          <a:extLst>
            <a:ext uri="{FF2B5EF4-FFF2-40B4-BE49-F238E27FC236}">
              <a16:creationId xmlns:a16="http://schemas.microsoft.com/office/drawing/2014/main" id="{68901D1C-77E0-44A8-BC97-72D853EE38F2}"/>
            </a:ext>
          </a:extLst>
        </xdr:cNvPr>
        <xdr:cNvSpPr/>
      </xdr:nvSpPr>
      <xdr:spPr>
        <a:xfrm>
          <a:off x="25485725" y="746125"/>
          <a:ext cx="2009775" cy="1987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323850</xdr:colOff>
      <xdr:row>2</xdr:row>
      <xdr:rowOff>161925</xdr:rowOff>
    </xdr:from>
    <xdr:to>
      <xdr:col>32</xdr:col>
      <xdr:colOff>495300</xdr:colOff>
      <xdr:row>2</xdr:row>
      <xdr:rowOff>161925</xdr:rowOff>
    </xdr:to>
    <xdr:cxnSp macro="">
      <xdr:nvCxnSpPr>
        <xdr:cNvPr id="6" name="Straight Arrow Connector 5">
          <a:extLst>
            <a:ext uri="{FF2B5EF4-FFF2-40B4-BE49-F238E27FC236}">
              <a16:creationId xmlns:a16="http://schemas.microsoft.com/office/drawing/2014/main" id="{B25DA5C0-FDBC-4D4E-8E35-CC2A9B116F0B}"/>
            </a:ext>
          </a:extLst>
        </xdr:cNvPr>
        <xdr:cNvCxnSpPr/>
      </xdr:nvCxnSpPr>
      <xdr:spPr>
        <a:xfrm flipV="1">
          <a:off x="25476200" y="530225"/>
          <a:ext cx="2000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3</xdr:row>
      <xdr:rowOff>104775</xdr:rowOff>
    </xdr:from>
    <xdr:to>
      <xdr:col>33</xdr:col>
      <xdr:colOff>25400</xdr:colOff>
      <xdr:row>12</xdr:row>
      <xdr:rowOff>161925</xdr:rowOff>
    </xdr:to>
    <xdr:sp macro="" textlink="">
      <xdr:nvSpPr>
        <xdr:cNvPr id="7" name="Rectangle 6">
          <a:extLst>
            <a:ext uri="{FF2B5EF4-FFF2-40B4-BE49-F238E27FC236}">
              <a16:creationId xmlns:a16="http://schemas.microsoft.com/office/drawing/2014/main" id="{34E377FF-09DF-4897-9327-4409833A4A23}"/>
            </a:ext>
          </a:extLst>
        </xdr:cNvPr>
        <xdr:cNvSpPr/>
      </xdr:nvSpPr>
      <xdr:spPr>
        <a:xfrm>
          <a:off x="25314275" y="657225"/>
          <a:ext cx="2301875" cy="1714500"/>
        </a:xfrm>
        <a:prstGeom prst="rect">
          <a:avLst/>
        </a:prstGeom>
        <a:solidFill>
          <a:schemeClr val="accent1">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294195</xdr:colOff>
      <xdr:row>21</xdr:row>
      <xdr:rowOff>125995</xdr:rowOff>
    </xdr:to>
    <xdr:pic>
      <xdr:nvPicPr>
        <xdr:cNvPr id="2" name="Picture 1">
          <a:extLst>
            <a:ext uri="{FF2B5EF4-FFF2-40B4-BE49-F238E27FC236}">
              <a16:creationId xmlns:a16="http://schemas.microsoft.com/office/drawing/2014/main" id="{5FF80F5D-3E39-4CF1-83CD-7FA8CE39E4B2}"/>
            </a:ext>
          </a:extLst>
        </xdr:cNvPr>
        <xdr:cNvPicPr>
          <a:picLocks noChangeAspect="1"/>
        </xdr:cNvPicPr>
      </xdr:nvPicPr>
      <xdr:blipFill>
        <a:blip xmlns:r="http://schemas.openxmlformats.org/officeDocument/2006/relationships" r:embed="rId1"/>
        <a:stretch>
          <a:fillRect/>
        </a:stretch>
      </xdr:blipFill>
      <xdr:spPr>
        <a:xfrm>
          <a:off x="8204200" y="1050290"/>
          <a:ext cx="3596195" cy="2968255"/>
        </a:xfrm>
        <a:prstGeom prst="rect">
          <a:avLst/>
        </a:prstGeom>
      </xdr:spPr>
    </xdr:pic>
    <xdr:clientData/>
  </xdr:twoCellAnchor>
  <xdr:twoCellAnchor editAs="oneCell">
    <xdr:from>
      <xdr:col>5</xdr:col>
      <xdr:colOff>266700</xdr:colOff>
      <xdr:row>2</xdr:row>
      <xdr:rowOff>137161</xdr:rowOff>
    </xdr:from>
    <xdr:to>
      <xdr:col>13</xdr:col>
      <xdr:colOff>240850</xdr:colOff>
      <xdr:row>24</xdr:row>
      <xdr:rowOff>142072</xdr:rowOff>
    </xdr:to>
    <xdr:pic>
      <xdr:nvPicPr>
        <xdr:cNvPr id="3" name="Picture 2">
          <a:extLst>
            <a:ext uri="{FF2B5EF4-FFF2-40B4-BE49-F238E27FC236}">
              <a16:creationId xmlns:a16="http://schemas.microsoft.com/office/drawing/2014/main" id="{B2F02D00-62FD-4A61-9ACB-EBC54FF3A7A9}"/>
            </a:ext>
          </a:extLst>
        </xdr:cNvPr>
        <xdr:cNvPicPr>
          <a:picLocks noChangeAspect="1"/>
        </xdr:cNvPicPr>
      </xdr:nvPicPr>
      <xdr:blipFill>
        <a:blip xmlns:r="http://schemas.openxmlformats.org/officeDocument/2006/relationships" r:embed="rId2"/>
        <a:stretch>
          <a:fillRect/>
        </a:stretch>
      </xdr:blipFill>
      <xdr:spPr>
        <a:xfrm>
          <a:off x="8166100" y="505461"/>
          <a:ext cx="5835200" cy="4081611"/>
        </a:xfrm>
        <a:prstGeom prst="rect">
          <a:avLst/>
        </a:prstGeom>
      </xdr:spPr>
    </xdr:pic>
    <xdr:clientData/>
  </xdr:twoCellAnchor>
  <xdr:twoCellAnchor>
    <xdr:from>
      <xdr:col>29</xdr:col>
      <xdr:colOff>333375</xdr:colOff>
      <xdr:row>4</xdr:row>
      <xdr:rowOff>9525</xdr:rowOff>
    </xdr:from>
    <xdr:to>
      <xdr:col>32</xdr:col>
      <xdr:colOff>514350</xdr:colOff>
      <xdr:row>14</xdr:row>
      <xdr:rowOff>130175</xdr:rowOff>
    </xdr:to>
    <xdr:sp macro="" textlink="">
      <xdr:nvSpPr>
        <xdr:cNvPr id="4" name="Oval 3">
          <a:extLst>
            <a:ext uri="{FF2B5EF4-FFF2-40B4-BE49-F238E27FC236}">
              <a16:creationId xmlns:a16="http://schemas.microsoft.com/office/drawing/2014/main" id="{0F1C8263-AB13-44DE-BE59-DDC97C02CF44}"/>
            </a:ext>
          </a:extLst>
        </xdr:cNvPr>
        <xdr:cNvSpPr/>
      </xdr:nvSpPr>
      <xdr:spPr>
        <a:xfrm>
          <a:off x="25485725" y="746125"/>
          <a:ext cx="2009775" cy="1987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323850</xdr:colOff>
      <xdr:row>2</xdr:row>
      <xdr:rowOff>161925</xdr:rowOff>
    </xdr:from>
    <xdr:to>
      <xdr:col>32</xdr:col>
      <xdr:colOff>495300</xdr:colOff>
      <xdr:row>2</xdr:row>
      <xdr:rowOff>161925</xdr:rowOff>
    </xdr:to>
    <xdr:cxnSp macro="">
      <xdr:nvCxnSpPr>
        <xdr:cNvPr id="5" name="Straight Arrow Connector 4">
          <a:extLst>
            <a:ext uri="{FF2B5EF4-FFF2-40B4-BE49-F238E27FC236}">
              <a16:creationId xmlns:a16="http://schemas.microsoft.com/office/drawing/2014/main" id="{15112949-CB3C-401B-BAD6-D0A4A5D9A76A}"/>
            </a:ext>
          </a:extLst>
        </xdr:cNvPr>
        <xdr:cNvCxnSpPr/>
      </xdr:nvCxnSpPr>
      <xdr:spPr>
        <a:xfrm flipV="1">
          <a:off x="25476200" y="530225"/>
          <a:ext cx="2000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3</xdr:row>
      <xdr:rowOff>104775</xdr:rowOff>
    </xdr:from>
    <xdr:to>
      <xdr:col>33</xdr:col>
      <xdr:colOff>25400</xdr:colOff>
      <xdr:row>12</xdr:row>
      <xdr:rowOff>161925</xdr:rowOff>
    </xdr:to>
    <xdr:sp macro="" textlink="">
      <xdr:nvSpPr>
        <xdr:cNvPr id="6" name="Rectangle 5">
          <a:extLst>
            <a:ext uri="{FF2B5EF4-FFF2-40B4-BE49-F238E27FC236}">
              <a16:creationId xmlns:a16="http://schemas.microsoft.com/office/drawing/2014/main" id="{A04BDE58-435A-4834-B229-022255A2A4BB}"/>
            </a:ext>
          </a:extLst>
        </xdr:cNvPr>
        <xdr:cNvSpPr/>
      </xdr:nvSpPr>
      <xdr:spPr>
        <a:xfrm>
          <a:off x="25314275" y="657225"/>
          <a:ext cx="2301875" cy="1714500"/>
        </a:xfrm>
        <a:prstGeom prst="rect">
          <a:avLst/>
        </a:prstGeom>
        <a:solidFill>
          <a:schemeClr val="accent1">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544385</xdr:colOff>
      <xdr:row>21</xdr:row>
      <xdr:rowOff>119645</xdr:rowOff>
    </xdr:to>
    <xdr:pic>
      <xdr:nvPicPr>
        <xdr:cNvPr id="2" name="Picture 1">
          <a:extLst>
            <a:ext uri="{FF2B5EF4-FFF2-40B4-BE49-F238E27FC236}">
              <a16:creationId xmlns:a16="http://schemas.microsoft.com/office/drawing/2014/main" id="{1956F19A-9ED0-488E-9732-E5894AAEE6BA}"/>
            </a:ext>
          </a:extLst>
        </xdr:cNvPr>
        <xdr:cNvPicPr>
          <a:picLocks noChangeAspect="1"/>
        </xdr:cNvPicPr>
      </xdr:nvPicPr>
      <xdr:blipFill>
        <a:blip xmlns:r="http://schemas.openxmlformats.org/officeDocument/2006/relationships" r:embed="rId1"/>
        <a:stretch>
          <a:fillRect/>
        </a:stretch>
      </xdr:blipFill>
      <xdr:spPr>
        <a:xfrm>
          <a:off x="5289550" y="1050290"/>
          <a:ext cx="3579685" cy="2961905"/>
        </a:xfrm>
        <a:prstGeom prst="rect">
          <a:avLst/>
        </a:prstGeom>
      </xdr:spPr>
    </xdr:pic>
    <xdr:clientData/>
  </xdr:twoCellAnchor>
  <xdr:twoCellAnchor editAs="oneCell">
    <xdr:from>
      <xdr:col>5</xdr:col>
      <xdr:colOff>266700</xdr:colOff>
      <xdr:row>2</xdr:row>
      <xdr:rowOff>137161</xdr:rowOff>
    </xdr:from>
    <xdr:to>
      <xdr:col>14</xdr:col>
      <xdr:colOff>278950</xdr:colOff>
      <xdr:row>24</xdr:row>
      <xdr:rowOff>148422</xdr:rowOff>
    </xdr:to>
    <xdr:pic>
      <xdr:nvPicPr>
        <xdr:cNvPr id="3" name="Picture 2">
          <a:extLst>
            <a:ext uri="{FF2B5EF4-FFF2-40B4-BE49-F238E27FC236}">
              <a16:creationId xmlns:a16="http://schemas.microsoft.com/office/drawing/2014/main" id="{00AF7B35-60ED-483D-B313-2ADAAC8B93DD}"/>
            </a:ext>
          </a:extLst>
        </xdr:cNvPr>
        <xdr:cNvPicPr>
          <a:picLocks noChangeAspect="1"/>
        </xdr:cNvPicPr>
      </xdr:nvPicPr>
      <xdr:blipFill>
        <a:blip xmlns:r="http://schemas.openxmlformats.org/officeDocument/2006/relationships" r:embed="rId2"/>
        <a:stretch>
          <a:fillRect/>
        </a:stretch>
      </xdr:blipFill>
      <xdr:spPr>
        <a:xfrm>
          <a:off x="5251450" y="505461"/>
          <a:ext cx="5790750" cy="4087961"/>
        </a:xfrm>
        <a:prstGeom prst="rect">
          <a:avLst/>
        </a:prstGeom>
      </xdr:spPr>
    </xdr:pic>
    <xdr:clientData/>
  </xdr:twoCellAnchor>
  <xdr:twoCellAnchor editAs="oneCell">
    <xdr:from>
      <xdr:col>4</xdr:col>
      <xdr:colOff>438150</xdr:colOff>
      <xdr:row>21</xdr:row>
      <xdr:rowOff>95250</xdr:rowOff>
    </xdr:from>
    <xdr:to>
      <xdr:col>8</xdr:col>
      <xdr:colOff>367371</xdr:colOff>
      <xdr:row>24</xdr:row>
      <xdr:rowOff>38039</xdr:rowOff>
    </xdr:to>
    <xdr:pic>
      <xdr:nvPicPr>
        <xdr:cNvPr id="4" name="Picture 3">
          <a:extLst>
            <a:ext uri="{FF2B5EF4-FFF2-40B4-BE49-F238E27FC236}">
              <a16:creationId xmlns:a16="http://schemas.microsoft.com/office/drawing/2014/main" id="{99004BFE-DF56-41CD-8F0F-618B283BC31F}"/>
            </a:ext>
          </a:extLst>
        </xdr:cNvPr>
        <xdr:cNvPicPr>
          <a:picLocks noChangeAspect="1"/>
        </xdr:cNvPicPr>
      </xdr:nvPicPr>
      <xdr:blipFill>
        <a:blip xmlns:r="http://schemas.openxmlformats.org/officeDocument/2006/relationships" r:embed="rId3"/>
        <a:stretch>
          <a:fillRect/>
        </a:stretch>
      </xdr:blipFill>
      <xdr:spPr>
        <a:xfrm>
          <a:off x="4813300" y="3987800"/>
          <a:ext cx="2367621" cy="4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345440</xdr:colOff>
      <xdr:row>9</xdr:row>
      <xdr:rowOff>154940</xdr:rowOff>
    </xdr:from>
    <xdr:to>
      <xdr:col>13</xdr:col>
      <xdr:colOff>1038617</xdr:colOff>
      <xdr:row>16</xdr:row>
      <xdr:rowOff>600316</xdr:rowOff>
    </xdr:to>
    <xdr:pic>
      <xdr:nvPicPr>
        <xdr:cNvPr id="2" name="Picture 1">
          <a:extLst>
            <a:ext uri="{FF2B5EF4-FFF2-40B4-BE49-F238E27FC236}">
              <a16:creationId xmlns:a16="http://schemas.microsoft.com/office/drawing/2014/main" id="{EFD18EA5-2D0C-41E9-96AE-FE559F3091AE}"/>
            </a:ext>
          </a:extLst>
        </xdr:cNvPr>
        <xdr:cNvPicPr>
          <a:picLocks noChangeAspect="1"/>
        </xdr:cNvPicPr>
      </xdr:nvPicPr>
      <xdr:blipFill>
        <a:blip xmlns:r="http://schemas.openxmlformats.org/officeDocument/2006/relationships" r:embed="rId1"/>
        <a:stretch>
          <a:fillRect/>
        </a:stretch>
      </xdr:blipFill>
      <xdr:spPr>
        <a:xfrm>
          <a:off x="11432540" y="3126740"/>
          <a:ext cx="4319027" cy="2090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664222" cy="6279444"/>
    <xdr:graphicFrame macro="">
      <xdr:nvGraphicFramePr>
        <xdr:cNvPr id="2" name="Chart 1">
          <a:extLst>
            <a:ext uri="{FF2B5EF4-FFF2-40B4-BE49-F238E27FC236}">
              <a16:creationId xmlns:a16="http://schemas.microsoft.com/office/drawing/2014/main" id="{0D4A2320-A93E-45DC-A820-D54649BE77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0.05776</cdr:x>
      <cdr:y>0.11785</cdr:y>
    </cdr:from>
    <cdr:to>
      <cdr:x>0.28829</cdr:x>
      <cdr:y>0.16863</cdr:y>
    </cdr:to>
    <cdr:grpSp>
      <cdr:nvGrpSpPr>
        <cdr:cNvPr id="6" name="Group 5">
          <a:extLst xmlns:a="http://schemas.openxmlformats.org/drawingml/2006/main">
            <a:ext uri="{FF2B5EF4-FFF2-40B4-BE49-F238E27FC236}">
              <a16:creationId xmlns:a16="http://schemas.microsoft.com/office/drawing/2014/main" id="{804DA8B2-A08B-4479-B8B5-3EADEFC86B09}"/>
            </a:ext>
          </a:extLst>
        </cdr:cNvPr>
        <cdr:cNvGrpSpPr/>
      </cdr:nvGrpSpPr>
      <cdr:grpSpPr>
        <a:xfrm xmlns:a="http://schemas.openxmlformats.org/drawingml/2006/main">
          <a:off x="500445" y="740032"/>
          <a:ext cx="1997364" cy="318871"/>
          <a:chOff x="750475" y="1112471"/>
          <a:chExt cx="2995352" cy="479339"/>
        </a:xfrm>
      </cdr:grpSpPr>
      <cdr:sp macro="" textlink="'Data Table Input'!$B$13">
        <cdr:nvSpPr>
          <cdr:cNvPr id="2" name="TextBox 1">
            <a:extLst xmlns:a="http://schemas.openxmlformats.org/drawingml/2006/main">
              <a:ext uri="{FF2B5EF4-FFF2-40B4-BE49-F238E27FC236}">
                <a16:creationId xmlns:a16="http://schemas.microsoft.com/office/drawing/2014/main" id="{C5177338-BFBD-4363-9B70-95B04807504A}"/>
              </a:ext>
            </a:extLst>
          </cdr:cNvPr>
          <cdr:cNvSpPr txBox="1"/>
        </cdr:nvSpPr>
        <cdr:spPr>
          <a:xfrm xmlns:a="http://schemas.openxmlformats.org/drawingml/2006/main">
            <a:off x="750475" y="1112471"/>
            <a:ext cx="1723231" cy="479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E1ECBB8-5F9B-41D3-B870-2FA5D0C5DE87}" type="TxLink">
              <a:rPr lang="en-US" sz="1200" b="1" i="0" u="none" strike="noStrike">
                <a:solidFill>
                  <a:srgbClr val="000000"/>
                </a:solidFill>
                <a:latin typeface="Arial" panose="020B0604020202020204" pitchFamily="34" charset="0"/>
                <a:cs typeface="Arial" panose="020B0604020202020204" pitchFamily="34" charset="0"/>
              </a:rPr>
              <a:pPr/>
              <a:t>Bottom Opening (G)</a:t>
            </a:fld>
            <a:endParaRPr lang="en-US" sz="1200">
              <a:latin typeface="Arial" panose="020B0604020202020204" pitchFamily="34" charset="0"/>
              <a:cs typeface="Arial" panose="020B0604020202020204" pitchFamily="34" charset="0"/>
            </a:endParaRPr>
          </a:p>
        </cdr:txBody>
      </cdr:sp>
      <cdr:sp macro="" textlink="'Data Table Input'!$D$13">
        <cdr:nvSpPr>
          <cdr:cNvPr id="3" name="TextBox 2">
            <a:extLst xmlns:a="http://schemas.openxmlformats.org/drawingml/2006/main">
              <a:ext uri="{FF2B5EF4-FFF2-40B4-BE49-F238E27FC236}">
                <a16:creationId xmlns:a16="http://schemas.microsoft.com/office/drawing/2014/main" id="{A471B37C-12FF-48E7-85A7-846797A4394C}"/>
              </a:ext>
            </a:extLst>
          </cdr:cNvPr>
          <cdr:cNvSpPr txBox="1"/>
        </cdr:nvSpPr>
        <cdr:spPr>
          <a:xfrm xmlns:a="http://schemas.openxmlformats.org/drawingml/2006/main">
            <a:off x="2387015" y="1112471"/>
            <a:ext cx="539795" cy="289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B968AB7-4181-4741-9627-E145683E1546}" type="TxLink">
              <a:rPr lang="en-US" sz="1200" b="1" i="0" u="none" strike="noStrike">
                <a:solidFill>
                  <a:srgbClr val="000000"/>
                </a:solidFill>
                <a:latin typeface="Arial" panose="020B0604020202020204" pitchFamily="34" charset="0"/>
                <a:cs typeface="Arial" panose="020B0604020202020204" pitchFamily="34" charset="0"/>
              </a:rPr>
              <a:pPr/>
              <a:t>3.00</a:t>
            </a:fld>
            <a:endParaRPr lang="en-US" sz="1200">
              <a:latin typeface="Arial" panose="020B0604020202020204" pitchFamily="34" charset="0"/>
              <a:cs typeface="Arial" panose="020B0604020202020204" pitchFamily="34" charset="0"/>
            </a:endParaRPr>
          </a:p>
        </cdr:txBody>
      </cdr:sp>
      <cdr:sp macro="" textlink="">
        <cdr:nvSpPr>
          <cdr:cNvPr id="5" name="TextBox 4">
            <a:extLst xmlns:a="http://schemas.openxmlformats.org/drawingml/2006/main">
              <a:ext uri="{FF2B5EF4-FFF2-40B4-BE49-F238E27FC236}">
                <a16:creationId xmlns:a16="http://schemas.microsoft.com/office/drawing/2014/main" id="{84FE2A7F-8B7E-4361-8C32-BE4EC817440C}"/>
              </a:ext>
            </a:extLst>
          </cdr:cNvPr>
          <cdr:cNvSpPr txBox="1"/>
        </cdr:nvSpPr>
        <cdr:spPr>
          <a:xfrm xmlns:a="http://schemas.openxmlformats.org/drawingml/2006/main">
            <a:off x="2828841" y="1112471"/>
            <a:ext cx="916986" cy="2808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latin typeface="Arial" panose="020B0604020202020204" pitchFamily="34" charset="0"/>
                <a:cs typeface="Arial" panose="020B0604020202020204" pitchFamily="34" charset="0"/>
              </a:rPr>
              <a:t>inches</a:t>
            </a:r>
          </a:p>
        </cdr:txBody>
      </cdr:sp>
    </cdr:grpSp>
  </cdr:relSizeAnchor>
</c:userShapes>
</file>

<file path=xl/drawings/drawing5.xml><?xml version="1.0" encoding="utf-8"?>
<xdr:wsDr xmlns:xdr="http://schemas.openxmlformats.org/drawingml/2006/spreadsheetDrawing" xmlns:a="http://schemas.openxmlformats.org/drawingml/2006/main">
  <xdr:absoluteAnchor>
    <xdr:pos x="0" y="0"/>
    <xdr:ext cx="8631695" cy="6263898"/>
    <xdr:graphicFrame macro="">
      <xdr:nvGraphicFramePr>
        <xdr:cNvPr id="2" name="Chart 1">
          <a:extLst>
            <a:ext uri="{FF2B5EF4-FFF2-40B4-BE49-F238E27FC236}">
              <a16:creationId xmlns:a16="http://schemas.microsoft.com/office/drawing/2014/main" id="{49B4CF3D-4ADF-402E-893D-12D25B9CE3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0.05776</cdr:x>
      <cdr:y>0.11915</cdr:y>
    </cdr:from>
    <cdr:to>
      <cdr:x>0.2817</cdr:x>
      <cdr:y>0.14502</cdr:y>
    </cdr:to>
    <cdr:grpSp>
      <cdr:nvGrpSpPr>
        <cdr:cNvPr id="5" name="Group 4">
          <a:extLst xmlns:a="http://schemas.openxmlformats.org/drawingml/2006/main">
            <a:ext uri="{FF2B5EF4-FFF2-40B4-BE49-F238E27FC236}">
              <a16:creationId xmlns:a16="http://schemas.microsoft.com/office/drawing/2014/main" id="{2F7ABB7D-0F65-4C8F-B877-4E832CA61B5E}"/>
            </a:ext>
          </a:extLst>
        </cdr:cNvPr>
        <cdr:cNvGrpSpPr/>
      </cdr:nvGrpSpPr>
      <cdr:grpSpPr>
        <a:xfrm xmlns:a="http://schemas.openxmlformats.org/drawingml/2006/main">
          <a:off x="498567" y="746343"/>
          <a:ext cx="1932981" cy="162047"/>
          <a:chOff x="749790" y="1121899"/>
          <a:chExt cx="2906972" cy="243626"/>
        </a:xfrm>
      </cdr:grpSpPr>
      <cdr:sp macro="" textlink="'Data Table Input'!$B$13">
        <cdr:nvSpPr>
          <cdr:cNvPr id="2" name="TextBox 1">
            <a:extLst xmlns:a="http://schemas.openxmlformats.org/drawingml/2006/main">
              <a:ext uri="{FF2B5EF4-FFF2-40B4-BE49-F238E27FC236}">
                <a16:creationId xmlns:a16="http://schemas.microsoft.com/office/drawing/2014/main" id="{C5177338-BFBD-4363-9B70-95B04807504A}"/>
              </a:ext>
            </a:extLst>
          </cdr:cNvPr>
          <cdr:cNvSpPr txBox="1"/>
        </cdr:nvSpPr>
        <cdr:spPr>
          <a:xfrm xmlns:a="http://schemas.openxmlformats.org/drawingml/2006/main">
            <a:off x="749790" y="1121899"/>
            <a:ext cx="2059470" cy="230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E1ECBB8-5F9B-41D3-B870-2FA5D0C5DE87}" type="TxLink">
              <a:rPr lang="en-US" sz="1200" b="1" i="0" u="none" strike="noStrike">
                <a:solidFill>
                  <a:srgbClr val="000000"/>
                </a:solidFill>
                <a:latin typeface="Arial" panose="020B0604020202020204" pitchFamily="34" charset="0"/>
                <a:cs typeface="Arial" panose="020B0604020202020204" pitchFamily="34" charset="0"/>
              </a:rPr>
              <a:pPr/>
              <a:t>Bottom Opening (G)</a:t>
            </a:fld>
            <a:endParaRPr lang="en-US" sz="1200">
              <a:latin typeface="Arial" panose="020B0604020202020204" pitchFamily="34" charset="0"/>
              <a:cs typeface="Arial" panose="020B0604020202020204" pitchFamily="34" charset="0"/>
            </a:endParaRPr>
          </a:p>
        </cdr:txBody>
      </cdr:sp>
      <cdr:sp macro="" textlink="'Data Table Input'!$D$13">
        <cdr:nvSpPr>
          <cdr:cNvPr id="3" name="TextBox 2">
            <a:extLst xmlns:a="http://schemas.openxmlformats.org/drawingml/2006/main">
              <a:ext uri="{FF2B5EF4-FFF2-40B4-BE49-F238E27FC236}">
                <a16:creationId xmlns:a16="http://schemas.microsoft.com/office/drawing/2014/main" id="{A471B37C-12FF-48E7-85A7-846797A4394C}"/>
              </a:ext>
            </a:extLst>
          </cdr:cNvPr>
          <cdr:cNvSpPr txBox="1"/>
        </cdr:nvSpPr>
        <cdr:spPr>
          <a:xfrm xmlns:a="http://schemas.openxmlformats.org/drawingml/2006/main">
            <a:off x="2335896" y="1121899"/>
            <a:ext cx="771765" cy="2314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B968AB7-4181-4741-9627-E145683E1546}" type="TxLink">
              <a:rPr lang="en-US" sz="1200" b="1" i="0" u="none" strike="noStrike">
                <a:solidFill>
                  <a:srgbClr val="000000"/>
                </a:solidFill>
                <a:latin typeface="Arial" panose="020B0604020202020204" pitchFamily="34" charset="0"/>
                <a:cs typeface="Arial" panose="020B0604020202020204" pitchFamily="34" charset="0"/>
              </a:rPr>
              <a:pPr/>
              <a:t>3.00</a:t>
            </a:fld>
            <a:endParaRPr lang="en-US" sz="1200">
              <a:latin typeface="Arial" panose="020B0604020202020204" pitchFamily="34" charset="0"/>
              <a:cs typeface="Arial" panose="020B0604020202020204" pitchFamily="34" charset="0"/>
            </a:endParaRPr>
          </a:p>
        </cdr:txBody>
      </cdr:sp>
      <cdr:sp macro="" textlink="">
        <cdr:nvSpPr>
          <cdr:cNvPr id="4" name="TextBox 3">
            <a:extLst xmlns:a="http://schemas.openxmlformats.org/drawingml/2006/main">
              <a:ext uri="{FF2B5EF4-FFF2-40B4-BE49-F238E27FC236}">
                <a16:creationId xmlns:a16="http://schemas.microsoft.com/office/drawing/2014/main" id="{FA336A92-7C92-4C36-A970-7701EF7AAEB5}"/>
              </a:ext>
            </a:extLst>
          </cdr:cNvPr>
          <cdr:cNvSpPr txBox="1"/>
        </cdr:nvSpPr>
        <cdr:spPr>
          <a:xfrm xmlns:a="http://schemas.openxmlformats.org/drawingml/2006/main">
            <a:off x="2740614" y="1121899"/>
            <a:ext cx="916148" cy="2436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latin typeface="Arial" panose="020B0604020202020204" pitchFamily="34" charset="0"/>
                <a:cs typeface="Arial" panose="020B0604020202020204" pitchFamily="34" charset="0"/>
              </a:rPr>
              <a:t>inches</a:t>
            </a:r>
            <a:endParaRPr lang="en-US" sz="1100" b="1">
              <a:latin typeface="Arial" panose="020B0604020202020204" pitchFamily="34" charset="0"/>
              <a:cs typeface="Arial" panose="020B0604020202020204" pitchFamily="34" charset="0"/>
            </a:endParaRPr>
          </a:p>
        </cdr:txBody>
      </cdr:sp>
    </cdr:grp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381000</xdr:colOff>
      <xdr:row>21</xdr:row>
      <xdr:rowOff>0</xdr:rowOff>
    </xdr:from>
    <xdr:to>
      <xdr:col>18</xdr:col>
      <xdr:colOff>209863</xdr:colOff>
      <xdr:row>50</xdr:row>
      <xdr:rowOff>343079</xdr:rowOff>
    </xdr:to>
    <xdr:pic>
      <xdr:nvPicPr>
        <xdr:cNvPr id="2" name="Picture 1">
          <a:extLst>
            <a:ext uri="{FF2B5EF4-FFF2-40B4-BE49-F238E27FC236}">
              <a16:creationId xmlns:a16="http://schemas.microsoft.com/office/drawing/2014/main" id="{308AA328-45F1-4600-BFEC-200A77DA7831}"/>
            </a:ext>
          </a:extLst>
        </xdr:cNvPr>
        <xdr:cNvPicPr>
          <a:picLocks noChangeAspect="1"/>
        </xdr:cNvPicPr>
      </xdr:nvPicPr>
      <xdr:blipFill>
        <a:blip xmlns:r="http://schemas.openxmlformats.org/officeDocument/2006/relationships" r:embed="rId1"/>
        <a:stretch>
          <a:fillRect/>
        </a:stretch>
      </xdr:blipFill>
      <xdr:spPr>
        <a:xfrm>
          <a:off x="10991850" y="4730750"/>
          <a:ext cx="6096313" cy="34926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297370</xdr:colOff>
      <xdr:row>21</xdr:row>
      <xdr:rowOff>122820</xdr:rowOff>
    </xdr:to>
    <xdr:pic>
      <xdr:nvPicPr>
        <xdr:cNvPr id="2" name="Picture 1">
          <a:extLst>
            <a:ext uri="{FF2B5EF4-FFF2-40B4-BE49-F238E27FC236}">
              <a16:creationId xmlns:a16="http://schemas.microsoft.com/office/drawing/2014/main" id="{936D8FE6-359E-4245-9482-5AAAE4CAE0F5}"/>
            </a:ext>
          </a:extLst>
        </xdr:cNvPr>
        <xdr:cNvPicPr>
          <a:picLocks noChangeAspect="1"/>
        </xdr:cNvPicPr>
      </xdr:nvPicPr>
      <xdr:blipFill>
        <a:blip xmlns:r="http://schemas.openxmlformats.org/officeDocument/2006/relationships" r:embed="rId1"/>
        <a:stretch>
          <a:fillRect/>
        </a:stretch>
      </xdr:blipFill>
      <xdr:spPr>
        <a:xfrm>
          <a:off x="6267450" y="1038225"/>
          <a:ext cx="3561905" cy="2931425"/>
        </a:xfrm>
        <a:prstGeom prst="rect">
          <a:avLst/>
        </a:prstGeom>
      </xdr:spPr>
    </xdr:pic>
    <xdr:clientData/>
  </xdr:twoCellAnchor>
  <xdr:twoCellAnchor editAs="oneCell">
    <xdr:from>
      <xdr:col>5</xdr:col>
      <xdr:colOff>266700</xdr:colOff>
      <xdr:row>2</xdr:row>
      <xdr:rowOff>137161</xdr:rowOff>
    </xdr:from>
    <xdr:to>
      <xdr:col>13</xdr:col>
      <xdr:colOff>237675</xdr:colOff>
      <xdr:row>24</xdr:row>
      <xdr:rowOff>145247</xdr:rowOff>
    </xdr:to>
    <xdr:pic>
      <xdr:nvPicPr>
        <xdr:cNvPr id="3" name="Picture 2">
          <a:extLst>
            <a:ext uri="{FF2B5EF4-FFF2-40B4-BE49-F238E27FC236}">
              <a16:creationId xmlns:a16="http://schemas.microsoft.com/office/drawing/2014/main" id="{770C9DF9-15B9-4F3C-9083-D359FACBEA10}"/>
            </a:ext>
          </a:extLst>
        </xdr:cNvPr>
        <xdr:cNvPicPr>
          <a:picLocks noChangeAspect="1"/>
        </xdr:cNvPicPr>
      </xdr:nvPicPr>
      <xdr:blipFill>
        <a:blip xmlns:r="http://schemas.openxmlformats.org/officeDocument/2006/relationships" r:embed="rId2"/>
        <a:stretch>
          <a:fillRect/>
        </a:stretch>
      </xdr:blipFill>
      <xdr:spPr>
        <a:xfrm>
          <a:off x="6229350" y="495301"/>
          <a:ext cx="5772970" cy="4049861"/>
        </a:xfrm>
        <a:prstGeom prst="rect">
          <a:avLst/>
        </a:prstGeom>
      </xdr:spPr>
    </xdr:pic>
    <xdr:clientData/>
  </xdr:twoCellAnchor>
  <xdr:twoCellAnchor editAs="oneCell">
    <xdr:from>
      <xdr:col>4</xdr:col>
      <xdr:colOff>400050</xdr:colOff>
      <xdr:row>25</xdr:row>
      <xdr:rowOff>19050</xdr:rowOff>
    </xdr:from>
    <xdr:to>
      <xdr:col>5</xdr:col>
      <xdr:colOff>479131</xdr:colOff>
      <xdr:row>27</xdr:row>
      <xdr:rowOff>145989</xdr:rowOff>
    </xdr:to>
    <xdr:pic>
      <xdr:nvPicPr>
        <xdr:cNvPr id="4" name="Picture 3">
          <a:extLst>
            <a:ext uri="{FF2B5EF4-FFF2-40B4-BE49-F238E27FC236}">
              <a16:creationId xmlns:a16="http://schemas.microsoft.com/office/drawing/2014/main" id="{FCAB4170-EFC5-4714-AD98-CA1126FFBDE4}"/>
            </a:ext>
          </a:extLst>
        </xdr:cNvPr>
        <xdr:cNvPicPr>
          <a:picLocks noChangeAspect="1"/>
        </xdr:cNvPicPr>
      </xdr:nvPicPr>
      <xdr:blipFill>
        <a:blip xmlns:r="http://schemas.openxmlformats.org/officeDocument/2006/relationships" r:embed="rId3"/>
        <a:stretch>
          <a:fillRect/>
        </a:stretch>
      </xdr:blipFill>
      <xdr:spPr>
        <a:xfrm>
          <a:off x="5991225" y="4572000"/>
          <a:ext cx="2393656" cy="485714"/>
        </a:xfrm>
        <a:prstGeom prst="rect">
          <a:avLst/>
        </a:prstGeom>
      </xdr:spPr>
    </xdr:pic>
    <xdr:clientData/>
  </xdr:twoCellAnchor>
  <xdr:twoCellAnchor>
    <xdr:from>
      <xdr:col>29</xdr:col>
      <xdr:colOff>333375</xdr:colOff>
      <xdr:row>4</xdr:row>
      <xdr:rowOff>9525</xdr:rowOff>
    </xdr:from>
    <xdr:to>
      <xdr:col>32</xdr:col>
      <xdr:colOff>514350</xdr:colOff>
      <xdr:row>14</xdr:row>
      <xdr:rowOff>130175</xdr:rowOff>
    </xdr:to>
    <xdr:sp macro="" textlink="">
      <xdr:nvSpPr>
        <xdr:cNvPr id="5" name="Oval 4">
          <a:extLst>
            <a:ext uri="{FF2B5EF4-FFF2-40B4-BE49-F238E27FC236}">
              <a16:creationId xmlns:a16="http://schemas.microsoft.com/office/drawing/2014/main" id="{FC361FFA-7825-4CF5-9B27-2937BF9CC612}"/>
            </a:ext>
          </a:extLst>
        </xdr:cNvPr>
        <xdr:cNvSpPr/>
      </xdr:nvSpPr>
      <xdr:spPr>
        <a:xfrm>
          <a:off x="24812625" y="733425"/>
          <a:ext cx="2009775" cy="19589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323850</xdr:colOff>
      <xdr:row>2</xdr:row>
      <xdr:rowOff>161925</xdr:rowOff>
    </xdr:from>
    <xdr:to>
      <xdr:col>32</xdr:col>
      <xdr:colOff>495300</xdr:colOff>
      <xdr:row>2</xdr:row>
      <xdr:rowOff>161925</xdr:rowOff>
    </xdr:to>
    <xdr:cxnSp macro="">
      <xdr:nvCxnSpPr>
        <xdr:cNvPr id="7" name="Straight Arrow Connector 6">
          <a:extLst>
            <a:ext uri="{FF2B5EF4-FFF2-40B4-BE49-F238E27FC236}">
              <a16:creationId xmlns:a16="http://schemas.microsoft.com/office/drawing/2014/main" id="{9CC07FCA-58F0-4C0D-AAAB-675DD5AC9C1B}"/>
            </a:ext>
          </a:extLst>
        </xdr:cNvPr>
        <xdr:cNvCxnSpPr/>
      </xdr:nvCxnSpPr>
      <xdr:spPr>
        <a:xfrm flipV="1">
          <a:off x="24803100" y="523875"/>
          <a:ext cx="2000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3</xdr:row>
      <xdr:rowOff>104775</xdr:rowOff>
    </xdr:from>
    <xdr:to>
      <xdr:col>33</xdr:col>
      <xdr:colOff>25400</xdr:colOff>
      <xdr:row>12</xdr:row>
      <xdr:rowOff>161925</xdr:rowOff>
    </xdr:to>
    <xdr:sp macro="" textlink="">
      <xdr:nvSpPr>
        <xdr:cNvPr id="8" name="Rectangle 7">
          <a:extLst>
            <a:ext uri="{FF2B5EF4-FFF2-40B4-BE49-F238E27FC236}">
              <a16:creationId xmlns:a16="http://schemas.microsoft.com/office/drawing/2014/main" id="{665A328A-4DC7-4247-8C6C-06A3B092CD88}"/>
            </a:ext>
          </a:extLst>
        </xdr:cNvPr>
        <xdr:cNvSpPr/>
      </xdr:nvSpPr>
      <xdr:spPr>
        <a:xfrm>
          <a:off x="24641175" y="647700"/>
          <a:ext cx="2301875" cy="1685925"/>
        </a:xfrm>
        <a:prstGeom prst="rect">
          <a:avLst/>
        </a:prstGeom>
        <a:solidFill>
          <a:schemeClr val="accent1">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304800</xdr:colOff>
      <xdr:row>5</xdr:row>
      <xdr:rowOff>129540</xdr:rowOff>
    </xdr:from>
    <xdr:to>
      <xdr:col>10</xdr:col>
      <xdr:colOff>541210</xdr:colOff>
      <xdr:row>21</xdr:row>
      <xdr:rowOff>122820</xdr:rowOff>
    </xdr:to>
    <xdr:pic>
      <xdr:nvPicPr>
        <xdr:cNvPr id="2" name="Picture 1">
          <a:extLst>
            <a:ext uri="{FF2B5EF4-FFF2-40B4-BE49-F238E27FC236}">
              <a16:creationId xmlns:a16="http://schemas.microsoft.com/office/drawing/2014/main" id="{C38A3195-6DC7-4844-A607-DA7F2097B3F9}"/>
            </a:ext>
          </a:extLst>
        </xdr:cNvPr>
        <xdr:cNvPicPr>
          <a:picLocks noChangeAspect="1"/>
        </xdr:cNvPicPr>
      </xdr:nvPicPr>
      <xdr:blipFill>
        <a:blip xmlns:r="http://schemas.openxmlformats.org/officeDocument/2006/relationships" r:embed="rId1"/>
        <a:stretch>
          <a:fillRect/>
        </a:stretch>
      </xdr:blipFill>
      <xdr:spPr>
        <a:xfrm>
          <a:off x="6103620" y="1043940"/>
          <a:ext cx="3561905" cy="2931425"/>
        </a:xfrm>
        <a:prstGeom prst="rect">
          <a:avLst/>
        </a:prstGeom>
      </xdr:spPr>
    </xdr:pic>
    <xdr:clientData/>
  </xdr:twoCellAnchor>
  <xdr:twoCellAnchor editAs="oneCell">
    <xdr:from>
      <xdr:col>5</xdr:col>
      <xdr:colOff>266700</xdr:colOff>
      <xdr:row>2</xdr:row>
      <xdr:rowOff>137161</xdr:rowOff>
    </xdr:from>
    <xdr:to>
      <xdr:col>14</xdr:col>
      <xdr:colOff>275775</xdr:colOff>
      <xdr:row>24</xdr:row>
      <xdr:rowOff>145247</xdr:rowOff>
    </xdr:to>
    <xdr:pic>
      <xdr:nvPicPr>
        <xdr:cNvPr id="3" name="Picture 2">
          <a:extLst>
            <a:ext uri="{FF2B5EF4-FFF2-40B4-BE49-F238E27FC236}">
              <a16:creationId xmlns:a16="http://schemas.microsoft.com/office/drawing/2014/main" id="{BA1E0B93-DD9D-4D07-B2A3-6B9A7676B247}"/>
            </a:ext>
          </a:extLst>
        </xdr:cNvPr>
        <xdr:cNvPicPr>
          <a:picLocks noChangeAspect="1"/>
        </xdr:cNvPicPr>
      </xdr:nvPicPr>
      <xdr:blipFill>
        <a:blip xmlns:r="http://schemas.openxmlformats.org/officeDocument/2006/relationships" r:embed="rId2"/>
        <a:stretch>
          <a:fillRect/>
        </a:stretch>
      </xdr:blipFill>
      <xdr:spPr>
        <a:xfrm>
          <a:off x="6065520" y="502921"/>
          <a:ext cx="5772970" cy="4049861"/>
        </a:xfrm>
        <a:prstGeom prst="rect">
          <a:avLst/>
        </a:prstGeom>
      </xdr:spPr>
    </xdr:pic>
    <xdr:clientData/>
  </xdr:twoCellAnchor>
  <xdr:twoCellAnchor editAs="oneCell">
    <xdr:from>
      <xdr:col>4</xdr:col>
      <xdr:colOff>438150</xdr:colOff>
      <xdr:row>21</xdr:row>
      <xdr:rowOff>95250</xdr:rowOff>
    </xdr:from>
    <xdr:to>
      <xdr:col>8</xdr:col>
      <xdr:colOff>370546</xdr:colOff>
      <xdr:row>24</xdr:row>
      <xdr:rowOff>38039</xdr:rowOff>
    </xdr:to>
    <xdr:pic>
      <xdr:nvPicPr>
        <xdr:cNvPr id="4" name="Picture 3">
          <a:extLst>
            <a:ext uri="{FF2B5EF4-FFF2-40B4-BE49-F238E27FC236}">
              <a16:creationId xmlns:a16="http://schemas.microsoft.com/office/drawing/2014/main" id="{5AC5665E-A841-4C38-8243-FAE7DF7AC326}"/>
            </a:ext>
          </a:extLst>
        </xdr:cNvPr>
        <xdr:cNvPicPr>
          <a:picLocks noChangeAspect="1"/>
        </xdr:cNvPicPr>
      </xdr:nvPicPr>
      <xdr:blipFill>
        <a:blip xmlns:r="http://schemas.openxmlformats.org/officeDocument/2006/relationships" r:embed="rId3"/>
        <a:stretch>
          <a:fillRect/>
        </a:stretch>
      </xdr:blipFill>
      <xdr:spPr>
        <a:xfrm>
          <a:off x="5627370" y="5048250"/>
          <a:ext cx="2367621" cy="49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37.bin"/><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150E1-714D-44F8-B757-C2E34E55BCCF}">
  <sheetPr codeName="Sheet4">
    <pageSetUpPr autoPageBreaks="0"/>
  </sheetPr>
  <dimension ref="A1:K56"/>
  <sheetViews>
    <sheetView tabSelected="1" zoomScale="74" zoomScaleNormal="74" workbookViewId="0">
      <selection activeCell="K8" sqref="K8"/>
    </sheetView>
  </sheetViews>
  <sheetFormatPr defaultRowHeight="15"/>
  <cols>
    <col min="11" max="11" width="130.85546875" customWidth="1"/>
  </cols>
  <sheetData>
    <row r="1" spans="1:11">
      <c r="K1" s="75"/>
    </row>
    <row r="5" spans="1:11" ht="18.75">
      <c r="A5" s="283" t="s">
        <v>204</v>
      </c>
      <c r="B5" s="283"/>
      <c r="C5" s="283"/>
      <c r="D5" s="283"/>
      <c r="E5" s="283"/>
      <c r="F5" s="283"/>
      <c r="G5" s="283"/>
      <c r="H5" s="283"/>
      <c r="I5" s="283"/>
      <c r="J5" s="283"/>
    </row>
    <row r="6" spans="1:11" ht="18">
      <c r="A6" s="284" t="s">
        <v>205</v>
      </c>
      <c r="B6" s="284"/>
      <c r="C6" s="284"/>
      <c r="D6" s="284"/>
      <c r="E6" s="284"/>
      <c r="F6" s="284"/>
      <c r="G6" s="284"/>
      <c r="H6" s="284"/>
      <c r="I6" s="284"/>
      <c r="J6" s="284"/>
    </row>
    <row r="7" spans="1:11" ht="18">
      <c r="A7" s="284" t="s">
        <v>273</v>
      </c>
      <c r="B7" s="284"/>
      <c r="C7" s="284"/>
      <c r="D7" s="284"/>
      <c r="E7" s="284"/>
      <c r="F7" s="284"/>
      <c r="G7" s="284"/>
      <c r="H7" s="284"/>
      <c r="I7" s="284"/>
      <c r="J7" s="284"/>
    </row>
    <row r="8" spans="1:11" ht="18">
      <c r="A8" s="284" t="s">
        <v>206</v>
      </c>
      <c r="B8" s="284"/>
      <c r="C8" s="284"/>
      <c r="D8" s="284"/>
      <c r="E8" s="284"/>
      <c r="F8" s="284"/>
      <c r="G8" s="284"/>
      <c r="H8" s="284"/>
      <c r="I8" s="284"/>
      <c r="J8" s="284"/>
    </row>
    <row r="9" spans="1:11" ht="18">
      <c r="A9" s="284" t="s">
        <v>274</v>
      </c>
      <c r="B9" s="284"/>
      <c r="C9" s="284"/>
      <c r="D9" s="284"/>
      <c r="E9" s="284"/>
      <c r="F9" s="284"/>
      <c r="G9" s="284"/>
      <c r="H9" s="284"/>
      <c r="I9" s="284"/>
      <c r="J9" s="284"/>
    </row>
    <row r="17" spans="11:11">
      <c r="K17" s="75"/>
    </row>
    <row r="18" spans="11:11">
      <c r="K18" s="75"/>
    </row>
    <row r="19" spans="11:11">
      <c r="K19" s="75"/>
    </row>
    <row r="20" spans="11:11">
      <c r="K20" s="75"/>
    </row>
    <row r="21" spans="11:11">
      <c r="K21" s="75"/>
    </row>
    <row r="22" spans="11:11">
      <c r="K22" s="75"/>
    </row>
    <row r="23" spans="11:11">
      <c r="K23" s="75"/>
    </row>
    <row r="24" spans="11:11">
      <c r="K24" s="75"/>
    </row>
    <row r="25" spans="11:11">
      <c r="K25" s="75"/>
    </row>
    <row r="26" spans="11:11">
      <c r="K26" s="75"/>
    </row>
    <row r="27" spans="11:11">
      <c r="K27" s="75"/>
    </row>
    <row r="28" spans="11:11">
      <c r="K28" s="75"/>
    </row>
    <row r="29" spans="11:11">
      <c r="K29" s="75"/>
    </row>
    <row r="30" spans="11:11">
      <c r="K30" s="75"/>
    </row>
    <row r="31" spans="11:11">
      <c r="K31" s="75"/>
    </row>
    <row r="32" spans="11:11">
      <c r="K32" s="75"/>
    </row>
    <row r="33" spans="1:11">
      <c r="K33" s="75"/>
    </row>
    <row r="34" spans="1:11">
      <c r="K34" s="75"/>
    </row>
    <row r="35" spans="1:11">
      <c r="K35" s="75"/>
    </row>
    <row r="36" spans="1:11">
      <c r="K36" s="75"/>
    </row>
    <row r="37" spans="1:11">
      <c r="K37" s="75"/>
    </row>
    <row r="38" spans="1:11">
      <c r="K38" s="75"/>
    </row>
    <row r="39" spans="1:11">
      <c r="K39" s="75"/>
    </row>
    <row r="40" spans="1:11" ht="18">
      <c r="A40" s="282" t="s">
        <v>275</v>
      </c>
      <c r="B40" s="282"/>
      <c r="C40" s="282"/>
      <c r="D40" s="282"/>
      <c r="E40" s="282"/>
      <c r="F40" s="282"/>
      <c r="G40" s="282"/>
      <c r="H40" s="282"/>
      <c r="I40" s="282"/>
      <c r="J40" s="282"/>
      <c r="K40" s="75"/>
    </row>
    <row r="41" spans="1:11" ht="18">
      <c r="A41" s="286">
        <v>44160</v>
      </c>
      <c r="B41" s="286"/>
      <c r="C41" s="286"/>
      <c r="D41" s="286"/>
      <c r="E41" s="286"/>
      <c r="F41" s="286"/>
      <c r="G41" s="286"/>
      <c r="H41" s="286"/>
      <c r="I41" s="286"/>
      <c r="J41" s="286"/>
      <c r="K41" s="75"/>
    </row>
    <row r="42" spans="1:11">
      <c r="K42" s="75"/>
    </row>
    <row r="43" spans="1:11" ht="52.5" customHeight="1">
      <c r="K43" s="75"/>
    </row>
    <row r="46" spans="1:11" ht="18.75">
      <c r="A46" s="287" t="s">
        <v>207</v>
      </c>
      <c r="B46" s="287"/>
      <c r="C46" s="287"/>
      <c r="D46" s="287"/>
      <c r="E46" s="287"/>
      <c r="F46" s="287"/>
      <c r="G46" s="287"/>
      <c r="H46" s="287"/>
      <c r="I46" s="287"/>
      <c r="J46" s="287"/>
    </row>
    <row r="47" spans="1:11" ht="15.75">
      <c r="A47" s="143"/>
    </row>
    <row r="48" spans="1:11" ht="15.75">
      <c r="A48" s="288" t="s">
        <v>208</v>
      </c>
      <c r="B48" s="288"/>
      <c r="C48" s="288"/>
      <c r="D48" s="288"/>
      <c r="E48" s="288"/>
      <c r="F48" s="288"/>
      <c r="G48" s="288"/>
      <c r="H48" s="288"/>
      <c r="I48" s="288"/>
      <c r="J48" s="288"/>
    </row>
    <row r="49" spans="1:10" ht="15.75">
      <c r="A49" s="288" t="s">
        <v>209</v>
      </c>
      <c r="B49" s="288"/>
      <c r="C49" s="288"/>
      <c r="D49" s="288"/>
      <c r="E49" s="288"/>
      <c r="F49" s="288"/>
      <c r="G49" s="288"/>
      <c r="H49" s="288"/>
      <c r="I49" s="288"/>
      <c r="J49" s="288"/>
    </row>
    <row r="50" spans="1:10" ht="33.6" customHeight="1">
      <c r="A50" s="288" t="s">
        <v>210</v>
      </c>
      <c r="B50" s="288"/>
      <c r="C50" s="288"/>
      <c r="D50" s="288"/>
      <c r="E50" s="288"/>
      <c r="F50" s="288"/>
      <c r="G50" s="288"/>
      <c r="H50" s="288"/>
      <c r="I50" s="288"/>
      <c r="J50" s="288"/>
    </row>
    <row r="51" spans="1:10" ht="18.75">
      <c r="A51" s="144"/>
    </row>
    <row r="52" spans="1:10" ht="32.1" customHeight="1">
      <c r="B52" s="90"/>
      <c r="C52" s="90"/>
      <c r="D52" s="90"/>
      <c r="E52" s="90"/>
      <c r="F52" s="90"/>
      <c r="G52" s="90"/>
      <c r="H52" s="90"/>
      <c r="I52" s="90"/>
      <c r="J52" s="90"/>
    </row>
    <row r="53" spans="1:10" ht="18.75">
      <c r="A53" s="287" t="s">
        <v>228</v>
      </c>
      <c r="B53" s="287"/>
      <c r="C53" s="287"/>
      <c r="D53" s="287"/>
      <c r="E53" s="287"/>
      <c r="F53" s="287"/>
      <c r="G53" s="287"/>
      <c r="H53" s="287"/>
      <c r="I53" s="287"/>
      <c r="J53" s="287"/>
    </row>
    <row r="55" spans="1:10" ht="41.45" customHeight="1">
      <c r="A55" s="285" t="s">
        <v>212</v>
      </c>
      <c r="B55" s="285"/>
      <c r="C55" s="285"/>
      <c r="D55" s="285"/>
      <c r="E55" s="285"/>
      <c r="F55" s="285"/>
      <c r="G55" s="285"/>
      <c r="H55" s="285"/>
      <c r="I55" s="285"/>
      <c r="J55" s="285"/>
    </row>
    <row r="56" spans="1:10" ht="102.6" customHeight="1">
      <c r="A56" s="285" t="s">
        <v>211</v>
      </c>
      <c r="B56" s="285"/>
      <c r="C56" s="285"/>
      <c r="D56" s="285"/>
      <c r="E56" s="285"/>
      <c r="F56" s="285"/>
      <c r="G56" s="285"/>
      <c r="H56" s="285"/>
      <c r="I56" s="285"/>
      <c r="J56" s="285"/>
    </row>
  </sheetData>
  <sheetProtection algorithmName="SHA-512" hashValue="LJ3X021xWSq1hadn+/sqtMh5wisIHBO/pftv3ugKFRgw1yJL+b+X/8Da87KAAQhKuYIGYdsFQrTB3Uwwzd5yVQ==" saltValue="8+SgvQF/AmKClF+QFQ18wA==" spinCount="100000" sheet="1" objects="1" scenarios="1"/>
  <customSheetViews>
    <customSheetView guid="{C8C28A16-3CAD-4F54-A986-B4BB76010774}" scale="74">
      <selection activeCell="C17" sqref="C17"/>
      <pageMargins left="0.7" right="0.7" top="0.75" bottom="0.75" header="0.3" footer="0.3"/>
    </customSheetView>
    <customSheetView guid="{69D25061-22BB-4069-9A58-30FF41B45BB4}" scale="74">
      <selection activeCell="C17" sqref="C17"/>
      <pageMargins left="0.7" right="0.7" top="0.75" bottom="0.75" header="0.3" footer="0.3"/>
    </customSheetView>
  </customSheetViews>
  <mergeCells count="14">
    <mergeCell ref="A55:J55"/>
    <mergeCell ref="A56:J56"/>
    <mergeCell ref="A41:J41"/>
    <mergeCell ref="A46:J46"/>
    <mergeCell ref="A48:J48"/>
    <mergeCell ref="A49:J49"/>
    <mergeCell ref="A50:J50"/>
    <mergeCell ref="A53:J53"/>
    <mergeCell ref="A40:J40"/>
    <mergeCell ref="A5:J5"/>
    <mergeCell ref="A6:J6"/>
    <mergeCell ref="A7:J7"/>
    <mergeCell ref="A8:J8"/>
    <mergeCell ref="A9:J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6BF1-3AEE-4250-AD38-8557B0103C5D}">
  <sheetPr codeName="Sheet8"/>
  <dimension ref="A1:G16"/>
  <sheetViews>
    <sheetView zoomScaleNormal="100" workbookViewId="0">
      <selection activeCell="C17" sqref="C17"/>
    </sheetView>
  </sheetViews>
  <sheetFormatPr defaultRowHeight="15"/>
  <cols>
    <col min="1" max="1" width="13.5703125" bestFit="1" customWidth="1"/>
    <col min="5" max="5" width="13.5703125" bestFit="1" customWidth="1"/>
  </cols>
  <sheetData>
    <row r="1" spans="1:7">
      <c r="A1" t="s">
        <v>109</v>
      </c>
      <c r="E1" t="s">
        <v>110</v>
      </c>
    </row>
    <row r="2" spans="1:7">
      <c r="A2" s="4" t="s">
        <v>16</v>
      </c>
      <c r="B2" s="4">
        <v>67</v>
      </c>
      <c r="C2" s="4" t="s">
        <v>9</v>
      </c>
      <c r="E2" s="4" t="s">
        <v>41</v>
      </c>
      <c r="F2" s="4">
        <f>'Flap Gate - Inputs and Outputs'!D15</f>
        <v>3</v>
      </c>
      <c r="G2" s="4" t="s">
        <v>4</v>
      </c>
    </row>
    <row r="3" spans="1:7">
      <c r="A3" s="4"/>
      <c r="B3" s="4">
        <f>B2*PI()/180</f>
        <v>1.1693705988362006</v>
      </c>
      <c r="C3" s="4" t="s">
        <v>19</v>
      </c>
      <c r="E3" s="4" t="s">
        <v>87</v>
      </c>
      <c r="F3" s="4">
        <f>ACOS(1-F2/B6)*2</f>
        <v>1.4454684956268311</v>
      </c>
      <c r="G3" s="4" t="s">
        <v>29</v>
      </c>
    </row>
    <row r="4" spans="1:7">
      <c r="A4" s="4"/>
      <c r="B4" s="4"/>
      <c r="C4" s="4"/>
      <c r="E4" s="4"/>
      <c r="F4" s="4">
        <f>F3*180/PI()</f>
        <v>82.819244218541712</v>
      </c>
      <c r="G4" s="4" t="s">
        <v>9</v>
      </c>
    </row>
    <row r="5" spans="1:7">
      <c r="A5" s="4" t="s">
        <v>18</v>
      </c>
      <c r="B5" s="29">
        <f>'Flap Gate - Inputs and Outputs'!D4</f>
        <v>24</v>
      </c>
      <c r="C5" s="4" t="s">
        <v>4</v>
      </c>
      <c r="E5" s="4" t="s">
        <v>18</v>
      </c>
      <c r="F5" s="29">
        <f>'Flap Gate - Inputs and Outputs'!D4</f>
        <v>24</v>
      </c>
      <c r="G5" s="4" t="s">
        <v>4</v>
      </c>
    </row>
    <row r="6" spans="1:7">
      <c r="A6" s="4" t="s">
        <v>24</v>
      </c>
      <c r="B6" s="4">
        <f>B5/2</f>
        <v>12</v>
      </c>
      <c r="C6" s="4" t="s">
        <v>4</v>
      </c>
      <c r="E6" s="4" t="s">
        <v>24</v>
      </c>
      <c r="F6" s="4">
        <f>F5/2</f>
        <v>12</v>
      </c>
      <c r="G6" s="4" t="s">
        <v>4</v>
      </c>
    </row>
    <row r="7" spans="1:7">
      <c r="A7" s="4"/>
      <c r="B7" s="4"/>
      <c r="C7" s="4"/>
    </row>
    <row r="8" spans="1:7">
      <c r="A8" s="4" t="s">
        <v>33</v>
      </c>
      <c r="B8" s="4">
        <f>B6^2/2*(B3-SIN(B3))</f>
        <v>17.918333667630748</v>
      </c>
      <c r="C8" s="4" t="s">
        <v>34</v>
      </c>
      <c r="E8" s="4" t="s">
        <v>111</v>
      </c>
      <c r="F8" s="4">
        <f>F6^2/2*(F3-SIN(F3))</f>
        <v>32.638446286387897</v>
      </c>
      <c r="G8" s="4"/>
    </row>
    <row r="9" spans="1:7">
      <c r="A9" s="4"/>
      <c r="B9" s="4">
        <f>B8/144</f>
        <v>0.12443287269188019</v>
      </c>
      <c r="C9" s="4" t="s">
        <v>32</v>
      </c>
      <c r="E9" s="4"/>
      <c r="F9" s="4">
        <f>F8/144</f>
        <v>0.22665587698880485</v>
      </c>
      <c r="G9" s="4" t="s">
        <v>32</v>
      </c>
    </row>
    <row r="10" spans="1:7">
      <c r="A10" s="4"/>
      <c r="B10" s="4"/>
      <c r="C10" s="4"/>
      <c r="E10" s="4"/>
      <c r="F10" s="4"/>
      <c r="G10" s="4"/>
    </row>
    <row r="11" spans="1:7">
      <c r="A11" s="4" t="s">
        <v>41</v>
      </c>
      <c r="B11" s="4">
        <f>B6*(1-COS(B3/2))</f>
        <v>1.9933701351939814</v>
      </c>
      <c r="C11" s="4" t="s">
        <v>4</v>
      </c>
    </row>
    <row r="12" spans="1:7">
      <c r="A12" s="4"/>
      <c r="B12" s="4"/>
      <c r="C12" s="4"/>
    </row>
    <row r="13" spans="1:7">
      <c r="A13" s="4"/>
      <c r="B13" s="4">
        <v>4000</v>
      </c>
      <c r="C13" s="4" t="s">
        <v>7</v>
      </c>
    </row>
    <row r="14" spans="1:7">
      <c r="A14" s="4" t="s">
        <v>45</v>
      </c>
      <c r="B14" s="4">
        <f>B13*SIN(B3)</f>
        <v>3682.0194138097609</v>
      </c>
      <c r="C14" s="4" t="s">
        <v>7</v>
      </c>
    </row>
    <row r="15" spans="1:7">
      <c r="A15" s="4"/>
      <c r="B15" s="4">
        <f>B14/2.2/B8</f>
        <v>93.404064191458019</v>
      </c>
      <c r="C15" s="4" t="s">
        <v>4</v>
      </c>
    </row>
    <row r="16" spans="1:7">
      <c r="A16" s="4"/>
      <c r="B16" s="4">
        <f>B15/12</f>
        <v>7.7836720159548349</v>
      </c>
      <c r="C16" s="4" t="s">
        <v>5</v>
      </c>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8F06-10EB-4705-B78D-E05651788EB2}">
  <sheetPr codeName="Sheet9"/>
  <dimension ref="A9"/>
  <sheetViews>
    <sheetView zoomScaleNormal="100" workbookViewId="0">
      <selection activeCell="C17" sqref="C17"/>
    </sheetView>
  </sheetViews>
  <sheetFormatPr defaultRowHeight="15"/>
  <sheetData>
    <row r="9" spans="1:1">
      <c r="A9" t="s">
        <v>203</v>
      </c>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AD6C3-9127-4750-BB8E-462E0D119FAF}">
  <sheetPr codeName="Sheet10"/>
  <dimension ref="A1:Q285"/>
  <sheetViews>
    <sheetView zoomScaleNormal="100" workbookViewId="0">
      <selection activeCell="C17" sqref="C17"/>
    </sheetView>
  </sheetViews>
  <sheetFormatPr defaultRowHeight="15"/>
  <cols>
    <col min="1" max="1" width="40.5703125" customWidth="1"/>
    <col min="2" max="2" width="22.5703125" bestFit="1" customWidth="1"/>
    <col min="3" max="3" width="7.42578125" bestFit="1" customWidth="1"/>
    <col min="4" max="4" width="18" customWidth="1"/>
    <col min="5" max="5" width="13.5703125" bestFit="1" customWidth="1"/>
    <col min="6" max="6" width="11.42578125" style="9" bestFit="1" customWidth="1"/>
    <col min="7" max="7" width="28.5703125" bestFit="1" customWidth="1"/>
    <col min="8" max="8" width="16.5703125" bestFit="1" customWidth="1"/>
    <col min="9" max="9" width="11.140625" bestFit="1" customWidth="1"/>
  </cols>
  <sheetData>
    <row r="1" spans="1:17" ht="54" customHeight="1">
      <c r="A1" s="91" t="s">
        <v>0</v>
      </c>
      <c r="B1" s="92"/>
      <c r="C1" s="92"/>
      <c r="D1" s="93"/>
      <c r="E1" s="93"/>
      <c r="F1" s="94"/>
      <c r="G1" s="93"/>
      <c r="H1" s="93"/>
      <c r="I1" s="34"/>
    </row>
    <row r="2" spans="1:17" ht="14.45" customHeight="1">
      <c r="A2" s="95" t="s">
        <v>140</v>
      </c>
      <c r="B2" s="91"/>
      <c r="C2" s="91"/>
      <c r="D2" s="64"/>
      <c r="E2" s="64"/>
      <c r="F2" s="96"/>
      <c r="G2" s="64"/>
      <c r="H2" s="64"/>
      <c r="I2" s="37"/>
      <c r="J2" s="40" t="s">
        <v>13</v>
      </c>
      <c r="K2" s="27"/>
      <c r="L2" s="27"/>
      <c r="M2" s="27"/>
      <c r="N2" s="25" t="s">
        <v>78</v>
      </c>
      <c r="O2" s="5"/>
      <c r="P2" s="5"/>
      <c r="Q2" s="5"/>
    </row>
    <row r="3" spans="1:17" ht="30">
      <c r="A3" s="97" t="s">
        <v>137</v>
      </c>
      <c r="B3" s="68" t="s">
        <v>1</v>
      </c>
      <c r="C3" s="68" t="s">
        <v>2</v>
      </c>
      <c r="D3" s="68" t="s">
        <v>2</v>
      </c>
      <c r="E3" s="69"/>
      <c r="F3" s="70"/>
      <c r="G3" s="69"/>
      <c r="H3" s="69"/>
      <c r="I3" s="37"/>
      <c r="J3" s="41">
        <v>1</v>
      </c>
      <c r="K3" s="28" t="s">
        <v>5</v>
      </c>
      <c r="L3" s="28">
        <f>J3*12</f>
        <v>12</v>
      </c>
      <c r="M3" s="28" t="s">
        <v>4</v>
      </c>
      <c r="N3" s="5" t="s">
        <v>79</v>
      </c>
      <c r="O3" s="5"/>
      <c r="P3" s="5">
        <v>8.34</v>
      </c>
      <c r="Q3" s="5" t="s">
        <v>77</v>
      </c>
    </row>
    <row r="4" spans="1:17">
      <c r="A4" s="97" t="s">
        <v>138</v>
      </c>
      <c r="B4" s="68" t="s">
        <v>3</v>
      </c>
      <c r="C4" s="68" t="s">
        <v>18</v>
      </c>
      <c r="D4" s="71">
        <f>'Flap Gate - Inputs and Outputs'!D4</f>
        <v>24</v>
      </c>
      <c r="E4" s="69" t="s">
        <v>4</v>
      </c>
      <c r="F4" s="70">
        <f>D4/12</f>
        <v>2</v>
      </c>
      <c r="G4" s="69" t="s">
        <v>5</v>
      </c>
      <c r="H4" s="69"/>
      <c r="I4" s="37"/>
      <c r="J4" s="41">
        <v>6</v>
      </c>
      <c r="K4" s="28" t="s">
        <v>4</v>
      </c>
      <c r="L4" s="28">
        <f>J4/12</f>
        <v>0.5</v>
      </c>
      <c r="M4" s="28" t="s">
        <v>5</v>
      </c>
      <c r="N4" s="5"/>
      <c r="O4" s="5"/>
      <c r="P4" s="5">
        <v>62.4</v>
      </c>
      <c r="Q4" s="5" t="s">
        <v>76</v>
      </c>
    </row>
    <row r="5" spans="1:17">
      <c r="A5" s="97" t="s">
        <v>139</v>
      </c>
      <c r="B5" s="68" t="s">
        <v>20</v>
      </c>
      <c r="C5" s="68" t="s">
        <v>21</v>
      </c>
      <c r="D5" s="98">
        <f>'Flap Gate - Inputs and Outputs'!D5</f>
        <v>12</v>
      </c>
      <c r="E5" s="69"/>
      <c r="F5" s="70">
        <f>F4/2</f>
        <v>1</v>
      </c>
      <c r="G5" s="69" t="s">
        <v>5</v>
      </c>
      <c r="H5" s="69"/>
      <c r="I5" s="37"/>
      <c r="N5" s="5" t="s">
        <v>80</v>
      </c>
      <c r="O5" s="5"/>
      <c r="P5" s="5">
        <v>32.200000000000003</v>
      </c>
      <c r="Q5" s="5" t="s">
        <v>81</v>
      </c>
    </row>
    <row r="6" spans="1:17" ht="30">
      <c r="A6" s="97" t="s">
        <v>176</v>
      </c>
      <c r="B6" s="68"/>
      <c r="C6" s="68"/>
      <c r="D6" s="71">
        <f>'Flap Gate - Inputs and Outputs'!D8</f>
        <v>240</v>
      </c>
      <c r="E6" s="69" t="s">
        <v>4</v>
      </c>
      <c r="F6" s="70">
        <f>D6/12</f>
        <v>20</v>
      </c>
      <c r="G6" s="69" t="s">
        <v>5</v>
      </c>
      <c r="H6" s="69"/>
      <c r="I6" s="37"/>
    </row>
    <row r="7" spans="1:17" ht="30">
      <c r="A7" s="97" t="s">
        <v>148</v>
      </c>
      <c r="B7" s="99" t="s">
        <v>6</v>
      </c>
      <c r="C7" s="99" t="s">
        <v>63</v>
      </c>
      <c r="D7" s="100">
        <v>1</v>
      </c>
      <c r="E7" s="101" t="s">
        <v>4</v>
      </c>
      <c r="F7" s="72">
        <f>D7/12</f>
        <v>8.3333333333333329E-2</v>
      </c>
      <c r="G7" s="69" t="s">
        <v>5</v>
      </c>
      <c r="H7" s="69" t="s">
        <v>177</v>
      </c>
      <c r="I7" s="37"/>
    </row>
    <row r="8" spans="1:17">
      <c r="A8" s="97" t="s">
        <v>147</v>
      </c>
      <c r="B8" s="102" t="s">
        <v>60</v>
      </c>
      <c r="C8" s="102"/>
      <c r="D8" s="77">
        <f>'Flap Gate - Inputs and Outputs'!D10</f>
        <v>0.01</v>
      </c>
      <c r="E8" s="66" t="s">
        <v>50</v>
      </c>
      <c r="F8" s="67" t="s">
        <v>118</v>
      </c>
      <c r="G8" s="69"/>
      <c r="H8" s="69"/>
      <c r="I8" s="37"/>
    </row>
    <row r="9" spans="1:17">
      <c r="A9" s="97"/>
      <c r="B9" s="66"/>
      <c r="C9" s="66"/>
      <c r="D9" s="78">
        <f>D8</f>
        <v>0.01</v>
      </c>
      <c r="E9" s="66" t="s">
        <v>51</v>
      </c>
      <c r="F9" s="67"/>
      <c r="G9" s="69"/>
      <c r="H9" s="69"/>
      <c r="I9" s="37"/>
    </row>
    <row r="10" spans="1:17">
      <c r="A10" s="97" t="s">
        <v>149</v>
      </c>
      <c r="B10" s="102" t="s">
        <v>61</v>
      </c>
      <c r="C10" s="102"/>
      <c r="D10" s="79">
        <f>'Flap Gate - Inputs and Outputs'!D12</f>
        <v>1.0999999999999999E-2</v>
      </c>
      <c r="E10" s="66"/>
      <c r="F10" s="67"/>
      <c r="G10" s="69"/>
      <c r="H10" s="69"/>
      <c r="I10" s="37"/>
    </row>
    <row r="11" spans="1:17">
      <c r="A11" s="97"/>
      <c r="B11" s="68"/>
      <c r="C11" s="68"/>
      <c r="D11" s="71"/>
      <c r="E11" s="69"/>
      <c r="F11" s="70"/>
      <c r="G11" s="69"/>
      <c r="H11" s="69"/>
      <c r="I11" s="37"/>
    </row>
    <row r="12" spans="1:17">
      <c r="A12" s="73" t="s">
        <v>143</v>
      </c>
      <c r="I12" s="37"/>
    </row>
    <row r="13" spans="1:17" ht="30">
      <c r="A13" s="103" t="s">
        <v>141</v>
      </c>
      <c r="B13" s="104" t="s">
        <v>12</v>
      </c>
      <c r="C13" s="104" t="s">
        <v>64</v>
      </c>
      <c r="D13" s="105">
        <f>'Flap Gate - Inputs and Outputs'!D15</f>
        <v>3</v>
      </c>
      <c r="E13" s="106" t="s">
        <v>4</v>
      </c>
      <c r="F13" s="107">
        <f>D13/12</f>
        <v>0.25</v>
      </c>
      <c r="G13" s="108" t="s">
        <v>5</v>
      </c>
      <c r="H13" s="108" t="s">
        <v>91</v>
      </c>
      <c r="I13" s="37"/>
    </row>
    <row r="14" spans="1:17">
      <c r="A14" s="103" t="s">
        <v>142</v>
      </c>
      <c r="B14" s="104" t="s">
        <v>15</v>
      </c>
      <c r="C14" s="104" t="s">
        <v>65</v>
      </c>
      <c r="D14" s="105">
        <f>'Flap Gate - Inputs and Outputs'!D16</f>
        <v>250</v>
      </c>
      <c r="E14" s="106" t="s">
        <v>7</v>
      </c>
      <c r="F14" s="107"/>
      <c r="G14" s="108"/>
      <c r="H14" s="108"/>
      <c r="I14" s="37"/>
    </row>
    <row r="15" spans="1:17" ht="30">
      <c r="A15" s="103" t="s">
        <v>144</v>
      </c>
      <c r="B15" s="104" t="s">
        <v>14</v>
      </c>
      <c r="C15" s="104" t="s">
        <v>66</v>
      </c>
      <c r="D15" s="105">
        <f>'Flap Gate - Inputs and Outputs'!D17</f>
        <v>2500</v>
      </c>
      <c r="E15" s="106" t="s">
        <v>7</v>
      </c>
      <c r="F15" s="107"/>
      <c r="G15" s="108"/>
      <c r="H15" s="108"/>
      <c r="I15" s="37"/>
    </row>
    <row r="16" spans="1:17">
      <c r="A16" s="103" t="s">
        <v>145</v>
      </c>
      <c r="B16" s="104" t="s">
        <v>178</v>
      </c>
      <c r="C16" s="109" t="s">
        <v>67</v>
      </c>
      <c r="D16" s="105">
        <f>'Flap Gate - Inputs and Outputs'!D18</f>
        <v>5</v>
      </c>
      <c r="E16" s="106" t="s">
        <v>9</v>
      </c>
      <c r="F16" s="107"/>
      <c r="G16" s="108"/>
      <c r="H16" s="108"/>
      <c r="I16" s="37"/>
    </row>
    <row r="17" spans="1:14" ht="30">
      <c r="A17" s="103" t="s">
        <v>146</v>
      </c>
      <c r="B17" s="104" t="s">
        <v>10</v>
      </c>
      <c r="C17" s="104" t="s">
        <v>68</v>
      </c>
      <c r="D17" s="110" t="s">
        <v>108</v>
      </c>
      <c r="E17" s="106" t="s">
        <v>11</v>
      </c>
      <c r="F17" s="107"/>
      <c r="G17" s="108"/>
      <c r="H17" s="108"/>
      <c r="I17" s="37"/>
    </row>
    <row r="18" spans="1:14">
      <c r="A18" s="111"/>
      <c r="F18" s="36"/>
      <c r="I18" s="37"/>
    </row>
    <row r="19" spans="1:14">
      <c r="A19" s="112" t="s">
        <v>120</v>
      </c>
      <c r="B19" s="30">
        <f>'Flap Gate - Inputs and Outputs'!C20</f>
        <v>0.7</v>
      </c>
      <c r="G19" s="9"/>
      <c r="H19" s="9"/>
      <c r="I19" s="37"/>
    </row>
    <row r="20" spans="1:14">
      <c r="A20" s="111"/>
      <c r="G20" s="9"/>
      <c r="H20" s="9"/>
      <c r="I20" s="37"/>
    </row>
    <row r="21" spans="1:14" ht="15.75" thickBot="1">
      <c r="A21" s="113"/>
      <c r="B21" s="38"/>
      <c r="C21" s="38"/>
      <c r="D21" s="38"/>
      <c r="E21" s="38"/>
      <c r="F21" s="38"/>
      <c r="G21" s="38"/>
      <c r="H21" s="38"/>
      <c r="I21" s="39"/>
    </row>
    <row r="22" spans="1:14" ht="15.75" hidden="1" thickBot="1">
      <c r="F22" s="36"/>
    </row>
    <row r="23" spans="1:14" hidden="1">
      <c r="A23" s="114"/>
      <c r="B23" s="32"/>
      <c r="C23" s="32"/>
      <c r="D23" s="32"/>
      <c r="E23" s="32"/>
      <c r="F23" s="33"/>
      <c r="G23" s="32"/>
      <c r="H23" s="32"/>
      <c r="I23" s="32"/>
      <c r="J23" s="34"/>
    </row>
    <row r="24" spans="1:14" ht="18.75" hidden="1">
      <c r="A24" s="111"/>
      <c r="B24" s="115" t="s">
        <v>62</v>
      </c>
      <c r="F24" s="36"/>
      <c r="G24" s="116" t="s">
        <v>69</v>
      </c>
      <c r="J24" s="37"/>
    </row>
    <row r="25" spans="1:14" hidden="1">
      <c r="A25" s="111"/>
      <c r="B25" s="5" t="s">
        <v>53</v>
      </c>
      <c r="C25" s="5" t="s">
        <v>54</v>
      </c>
      <c r="D25" s="117">
        <f>'Data Table Segment Flow (2)'!B46</f>
        <v>8.7178805822423946E-2</v>
      </c>
      <c r="E25" s="5" t="s">
        <v>55</v>
      </c>
      <c r="F25" s="36"/>
      <c r="G25" s="13" t="s">
        <v>84</v>
      </c>
      <c r="H25" s="14">
        <f>IF('Data Table Static Force (2)'!B11&lt;0,0,'Data Table Static Force (2)'!B11)</f>
        <v>0</v>
      </c>
      <c r="I25" s="13" t="s">
        <v>82</v>
      </c>
      <c r="J25" s="37"/>
    </row>
    <row r="26" spans="1:14" hidden="1">
      <c r="A26" s="111"/>
      <c r="B26" s="5"/>
      <c r="C26" s="5"/>
      <c r="D26" s="117">
        <f>D25*7.48*60</f>
        <v>39.125848053103866</v>
      </c>
      <c r="E26" s="5" t="s">
        <v>56</v>
      </c>
      <c r="F26" s="36"/>
      <c r="G26" s="13" t="s">
        <v>83</v>
      </c>
      <c r="H26" s="14">
        <f>'Data Table Static Force (2)'!B13</f>
        <v>7717.641020305131</v>
      </c>
      <c r="I26" s="13" t="s">
        <v>82</v>
      </c>
      <c r="J26" s="37"/>
    </row>
    <row r="27" spans="1:14" hidden="1">
      <c r="A27" s="111"/>
      <c r="B27" s="5"/>
      <c r="C27" s="5"/>
      <c r="D27" s="117"/>
      <c r="E27" s="5"/>
      <c r="F27" s="36"/>
      <c r="G27" s="13" t="s">
        <v>85</v>
      </c>
      <c r="H27" s="13" t="str">
        <f>IF(H25&gt;H26,"Open","Closed")</f>
        <v>Closed</v>
      </c>
      <c r="I27" s="13"/>
      <c r="J27" s="37"/>
      <c r="M27" t="s">
        <v>179</v>
      </c>
      <c r="N27">
        <v>123</v>
      </c>
    </row>
    <row r="28" spans="1:14" hidden="1">
      <c r="A28" s="111"/>
      <c r="B28" s="5" t="s">
        <v>57</v>
      </c>
      <c r="C28" s="5" t="s">
        <v>58</v>
      </c>
      <c r="D28" s="117">
        <f>'Data Table Segment Flow (2)'!B47</f>
        <v>1.946406420894238</v>
      </c>
      <c r="E28" s="5" t="s">
        <v>59</v>
      </c>
      <c r="F28" s="36"/>
      <c r="G28" s="13" t="s">
        <v>90</v>
      </c>
      <c r="H28" s="15" t="str">
        <f>IF(H25&lt;H26,"None",H25-H26)</f>
        <v>None</v>
      </c>
      <c r="I28" s="13" t="s">
        <v>82</v>
      </c>
      <c r="J28" s="118"/>
    </row>
    <row r="29" spans="1:14" hidden="1">
      <c r="A29" s="111"/>
      <c r="B29" s="5"/>
      <c r="C29" s="5"/>
      <c r="D29" s="117"/>
      <c r="E29" s="5"/>
      <c r="F29" s="36"/>
      <c r="G29" s="16"/>
      <c r="H29" s="16"/>
      <c r="I29" s="16"/>
      <c r="J29" s="37"/>
    </row>
    <row r="30" spans="1:14" hidden="1">
      <c r="A30" s="111"/>
      <c r="B30" s="5" t="s">
        <v>112</v>
      </c>
      <c r="C30" s="5"/>
      <c r="D30" s="8">
        <f>'Data Table Angle to Area (2)'!F9</f>
        <v>0.22665587698880485</v>
      </c>
      <c r="E30" s="5" t="s">
        <v>32</v>
      </c>
      <c r="F30" s="36"/>
      <c r="G30" s="13" t="s">
        <v>107</v>
      </c>
      <c r="H30" s="15">
        <f>IFERROR(IF(H25&gt;H26,'Data Table Angle of Opening (2)'!C18,0),"Fully Open")</f>
        <v>0</v>
      </c>
      <c r="I30" s="13" t="s">
        <v>9</v>
      </c>
      <c r="J30" s="37"/>
    </row>
    <row r="31" spans="1:14" hidden="1">
      <c r="A31" s="111"/>
      <c r="B31" s="5" t="s">
        <v>119</v>
      </c>
      <c r="C31" s="5" t="s">
        <v>33</v>
      </c>
      <c r="D31" s="8">
        <f>'Data Table Segment Flow (2)'!B49</f>
        <v>4.4789620958181675E-2</v>
      </c>
      <c r="E31" s="5" t="s">
        <v>32</v>
      </c>
      <c r="F31" s="36"/>
      <c r="J31" s="37"/>
    </row>
    <row r="32" spans="1:14" ht="15.75" hidden="1" thickBot="1">
      <c r="A32" s="113"/>
      <c r="B32" s="38"/>
      <c r="C32" s="38"/>
      <c r="D32" s="38"/>
      <c r="E32" s="38"/>
      <c r="F32" s="119"/>
      <c r="G32" s="38"/>
      <c r="H32" s="120"/>
      <c r="I32" s="38"/>
      <c r="J32" s="39"/>
    </row>
    <row r="33" spans="1:12" hidden="1"/>
    <row r="34" spans="1:12" hidden="1"/>
    <row r="35" spans="1:12" hidden="1"/>
    <row r="38" spans="1:12" ht="48.6" customHeight="1">
      <c r="A38" s="121" t="s">
        <v>62</v>
      </c>
    </row>
    <row r="39" spans="1:12">
      <c r="A39" t="s">
        <v>180</v>
      </c>
    </row>
    <row r="41" spans="1:12" s="64" customFormat="1" ht="30">
      <c r="A41" s="60" t="s">
        <v>128</v>
      </c>
      <c r="B41" s="61" t="s">
        <v>181</v>
      </c>
      <c r="C41" s="61" t="s">
        <v>57</v>
      </c>
      <c r="D41" s="61" t="s">
        <v>182</v>
      </c>
      <c r="E41" s="60" t="s">
        <v>183</v>
      </c>
      <c r="F41" s="60" t="s">
        <v>107</v>
      </c>
      <c r="G41" s="61" t="s">
        <v>126</v>
      </c>
      <c r="H41" s="62" t="s">
        <v>184</v>
      </c>
      <c r="I41" s="63"/>
      <c r="J41" s="64" t="s">
        <v>185</v>
      </c>
      <c r="K41" s="64" t="s">
        <v>186</v>
      </c>
    </row>
    <row r="42" spans="1:12">
      <c r="A42" s="44" cm="1">
        <f t="array" ref="A42:A281">_xlfn.SEQUENCE(D6,1,1,1)</f>
        <v>1</v>
      </c>
      <c r="B42" s="49">
        <f>D25</f>
        <v>8.7178805822423946E-2</v>
      </c>
      <c r="C42" s="49">
        <f>D28</f>
        <v>1.946406420894238</v>
      </c>
      <c r="D42" s="49" t="str">
        <f>H27</f>
        <v>Closed</v>
      </c>
      <c r="E42" s="48">
        <f>$H$25-$H$26</f>
        <v>-7717.641020305131</v>
      </c>
      <c r="F42" s="48">
        <f>H30</f>
        <v>0</v>
      </c>
      <c r="G42" s="46">
        <f>A42/12</f>
        <v>8.3333333333333329E-2</v>
      </c>
      <c r="H42" t="s">
        <v>187</v>
      </c>
      <c r="J42" s="50" cm="1">
        <f t="array" aca="1" ref="J42" ca="1">OFFSET(INDEX(A42:A113,MATCH(TRUE,INDEX(E42:E113&gt;0,),0)),-1,0)</f>
        <v>44</v>
      </c>
      <c r="K42" s="44">
        <v>16</v>
      </c>
      <c r="L42" t="s">
        <v>188</v>
      </c>
    </row>
    <row r="43" spans="1:12">
      <c r="A43" s="44">
        <v>2</v>
      </c>
      <c r="B43" s="49">
        <f t="dataTable" ref="B43:F281" dt2D="0" dtr="0" r1="D7"/>
        <v>0.38115133768669596</v>
      </c>
      <c r="C43" s="49">
        <v>3.0481569789050491</v>
      </c>
      <c r="D43" s="49" t="str">
        <v>Closed</v>
      </c>
      <c r="E43" s="48">
        <v>-7717.641020305131</v>
      </c>
      <c r="F43" s="9">
        <v>0</v>
      </c>
      <c r="G43" s="46">
        <f t="shared" ref="G43:G106" si="0">A43/12</f>
        <v>0.16666666666666666</v>
      </c>
      <c r="H43" t="s">
        <v>189</v>
      </c>
      <c r="I43" s="51"/>
      <c r="J43" s="44">
        <v>80</v>
      </c>
      <c r="K43" s="44">
        <f>'Flap Gate - Inputs and Outputs'!I26</f>
        <v>2.5</v>
      </c>
      <c r="L43" t="s">
        <v>55</v>
      </c>
    </row>
    <row r="44" spans="1:12">
      <c r="A44" s="44">
        <v>3</v>
      </c>
      <c r="B44" s="49">
        <v>0.63661660532760866</v>
      </c>
      <c r="C44" s="49">
        <v>2.8087363706834432</v>
      </c>
      <c r="D44" s="49" t="str">
        <v>Closed</v>
      </c>
      <c r="E44" s="48">
        <v>-7717.641020305131</v>
      </c>
      <c r="F44" s="9">
        <v>0</v>
      </c>
      <c r="G44" s="46">
        <f t="shared" si="0"/>
        <v>0.25</v>
      </c>
      <c r="H44" t="s">
        <v>190</v>
      </c>
      <c r="J44" s="44">
        <v>80</v>
      </c>
      <c r="K44" s="44">
        <f>'Flap Gate - Inputs and Outputs'!I27</f>
        <v>0</v>
      </c>
      <c r="L44" t="s">
        <v>191</v>
      </c>
    </row>
    <row r="45" spans="1:12">
      <c r="A45" s="44">
        <v>4</v>
      </c>
      <c r="B45" s="49">
        <v>0.73510153691296132</v>
      </c>
      <c r="C45" s="49">
        <v>3.2432493993935574</v>
      </c>
      <c r="D45" s="49" t="str">
        <v>Closed</v>
      </c>
      <c r="E45" s="48">
        <v>-7691.4067893263355</v>
      </c>
      <c r="F45" s="9">
        <v>0</v>
      </c>
      <c r="G45" s="46">
        <f t="shared" si="0"/>
        <v>0.33333333333333331</v>
      </c>
    </row>
    <row r="46" spans="1:12">
      <c r="A46" s="44">
        <v>5</v>
      </c>
      <c r="B46" s="49">
        <v>0.82186850345097606</v>
      </c>
      <c r="C46" s="49">
        <v>3.626063062514679</v>
      </c>
      <c r="D46" s="49" t="str">
        <v>Closed</v>
      </c>
      <c r="E46" s="48">
        <v>-7648.5688496832172</v>
      </c>
      <c r="F46" s="9">
        <v>0</v>
      </c>
      <c r="G46" s="46">
        <f t="shared" si="0"/>
        <v>0.41666666666666669</v>
      </c>
    </row>
    <row r="47" spans="1:12">
      <c r="A47" s="44">
        <v>6</v>
      </c>
      <c r="B47" s="49">
        <v>0.9003118372862241</v>
      </c>
      <c r="C47" s="49">
        <v>3.9721530685511102</v>
      </c>
      <c r="D47" s="49" t="str">
        <v>Closed</v>
      </c>
      <c r="E47" s="48">
        <v>-7587.8653180560914</v>
      </c>
      <c r="F47" s="9">
        <v>0</v>
      </c>
      <c r="G47" s="46">
        <f t="shared" si="0"/>
        <v>0.5</v>
      </c>
    </row>
    <row r="48" spans="1:12">
      <c r="A48" s="44">
        <v>7</v>
      </c>
      <c r="B48" s="49">
        <v>0.97244792752653131</v>
      </c>
      <c r="C48" s="49">
        <v>4.2904156752774743</v>
      </c>
      <c r="D48" s="49" t="str">
        <v>Closed</v>
      </c>
      <c r="E48" s="48">
        <v>-7508.3894637058856</v>
      </c>
      <c r="F48" s="9">
        <v>0</v>
      </c>
      <c r="G48" s="46">
        <f t="shared" si="0"/>
        <v>0.58333333333333337</v>
      </c>
    </row>
    <row r="49" spans="1:7">
      <c r="A49" s="44">
        <v>8</v>
      </c>
      <c r="B49" s="49">
        <v>1.0395905632236162</v>
      </c>
      <c r="C49" s="49">
        <v>4.5866472867807637</v>
      </c>
      <c r="D49" s="49" t="str">
        <v>Closed</v>
      </c>
      <c r="E49" s="48">
        <v>-7409.5363016677084</v>
      </c>
      <c r="F49" s="9">
        <v>0</v>
      </c>
      <c r="G49" s="46">
        <f t="shared" si="0"/>
        <v>0.66666666666666663</v>
      </c>
    </row>
    <row r="50" spans="1:7">
      <c r="A50" s="44">
        <v>9</v>
      </c>
      <c r="B50" s="49">
        <v>1.1026523053694417</v>
      </c>
      <c r="C50" s="49">
        <v>4.8648740990903345</v>
      </c>
      <c r="D50" s="49" t="str">
        <v>Closed</v>
      </c>
      <c r="E50" s="48">
        <v>-7290.9710474756857</v>
      </c>
      <c r="F50" s="9">
        <v>0</v>
      </c>
      <c r="G50" s="46">
        <f t="shared" si="0"/>
        <v>0.75</v>
      </c>
    </row>
    <row r="51" spans="1:7">
      <c r="A51" s="44">
        <v>10</v>
      </c>
      <c r="B51" s="49">
        <v>1.1622975840676493</v>
      </c>
      <c r="C51" s="49">
        <v>5.1280275610283788</v>
      </c>
      <c r="D51" s="49" t="str">
        <v>Closed</v>
      </c>
      <c r="E51" s="48">
        <v>-7152.6109332464885</v>
      </c>
      <c r="F51" s="9">
        <v>0</v>
      </c>
      <c r="G51" s="46">
        <f t="shared" si="0"/>
        <v>0.83333333333333337</v>
      </c>
    </row>
    <row r="52" spans="1:7">
      <c r="A52" s="44">
        <v>11</v>
      </c>
      <c r="B52" s="49">
        <v>1.219027990376941</v>
      </c>
      <c r="C52" s="49">
        <v>5.3783206796669649</v>
      </c>
      <c r="D52" s="49" t="str">
        <v>Closed</v>
      </c>
      <c r="E52" s="48">
        <v>-6994.6163613166309</v>
      </c>
      <c r="F52" s="9">
        <v>0</v>
      </c>
      <c r="G52" s="46">
        <f t="shared" si="0"/>
        <v>0.91666666666666663</v>
      </c>
    </row>
    <row r="53" spans="1:7">
      <c r="A53" s="44">
        <v>12</v>
      </c>
      <c r="B53" s="49">
        <v>1.2732332106552173</v>
      </c>
      <c r="C53" s="49">
        <v>5.6174727413668863</v>
      </c>
      <c r="D53" s="49" t="str">
        <v>Closed</v>
      </c>
      <c r="E53" s="48">
        <v>-6817.3895126430034</v>
      </c>
      <c r="F53" s="9">
        <v>0</v>
      </c>
      <c r="G53" s="46">
        <f t="shared" si="0"/>
        <v>1</v>
      </c>
    </row>
    <row r="54" spans="1:7">
      <c r="A54" s="44">
        <v>13</v>
      </c>
      <c r="B54" s="49">
        <v>1.325223142006033</v>
      </c>
      <c r="C54" s="49">
        <v>5.8468510043156279</v>
      </c>
      <c r="D54" s="49" t="str">
        <v>Closed</v>
      </c>
      <c r="E54" s="48">
        <v>-6621.5797749326866</v>
      </c>
      <c r="F54" s="9">
        <v>0</v>
      </c>
      <c r="G54" s="46">
        <f t="shared" si="0"/>
        <v>1.0833333333333333</v>
      </c>
    </row>
    <row r="55" spans="1:7">
      <c r="A55" s="44">
        <v>14</v>
      </c>
      <c r="B55" s="49">
        <v>1.3752490478096291</v>
      </c>
      <c r="C55" s="49">
        <v>6.0675640361955248</v>
      </c>
      <c r="D55" s="49" t="str">
        <v>Closed</v>
      </c>
      <c r="E55" s="48">
        <v>-6408.0962909755981</v>
      </c>
      <c r="F55" s="9">
        <v>0</v>
      </c>
      <c r="G55" s="46">
        <f t="shared" si="0"/>
        <v>1.1666666666666667</v>
      </c>
    </row>
    <row r="56" spans="1:7">
      <c r="A56" s="44">
        <v>15</v>
      </c>
      <c r="B56" s="49">
        <v>1.4235180051176879</v>
      </c>
      <c r="C56" s="49">
        <v>6.2805254557242272</v>
      </c>
      <c r="D56" s="49" t="str">
        <v>Closed</v>
      </c>
      <c r="E56" s="48">
        <v>-6178.1288725322192</v>
      </c>
      <c r="F56" s="9">
        <v>0</v>
      </c>
      <c r="G56" s="46">
        <f t="shared" si="0"/>
        <v>1.25</v>
      </c>
    </row>
    <row r="57" spans="1:7">
      <c r="A57" s="44">
        <v>16</v>
      </c>
      <c r="B57" s="49">
        <v>1.4702030738259226</v>
      </c>
      <c r="C57" s="49">
        <v>6.4864987987871148</v>
      </c>
      <c r="D57" s="49" t="str">
        <v>Closed</v>
      </c>
      <c r="E57" s="48">
        <v>-5933.1797704809687</v>
      </c>
      <c r="F57" s="9">
        <v>0</v>
      </c>
      <c r="G57" s="46">
        <f t="shared" si="0"/>
        <v>1.3333333333333333</v>
      </c>
    </row>
    <row r="58" spans="1:7">
      <c r="A58" s="44">
        <v>17</v>
      </c>
      <c r="B58" s="49">
        <v>1.5154506411230095</v>
      </c>
      <c r="C58" s="49">
        <v>6.6861299219603367</v>
      </c>
      <c r="D58" s="49" t="str">
        <v>Closed</v>
      </c>
      <c r="E58" s="48">
        <v>-5675.110767003458</v>
      </c>
      <c r="F58" s="9">
        <v>0</v>
      </c>
      <c r="G58" s="46">
        <f t="shared" si="0"/>
        <v>1.4166666666666667</v>
      </c>
    </row>
    <row r="59" spans="1:7">
      <c r="A59" s="44">
        <v>18</v>
      </c>
      <c r="B59" s="49">
        <v>1.5593858448354241</v>
      </c>
      <c r="C59" s="49">
        <v>6.8799709301711438</v>
      </c>
      <c r="D59" s="49" t="str">
        <v>Closed</v>
      </c>
      <c r="E59" s="48">
        <v>-5406.2136040658643</v>
      </c>
      <c r="F59" s="9">
        <v>0</v>
      </c>
      <c r="G59" s="46">
        <f t="shared" si="0"/>
        <v>1.5</v>
      </c>
    </row>
    <row r="60" spans="1:7">
      <c r="A60" s="44">
        <v>19</v>
      </c>
      <c r="B60" s="49">
        <v>1.602116656322516</v>
      </c>
      <c r="C60" s="49">
        <v>7.0684981903277491</v>
      </c>
      <c r="D60" s="49" t="str">
        <v>Closed</v>
      </c>
      <c r="E60" s="48">
        <v>-5129.3188277383324</v>
      </c>
      <c r="F60" s="9">
        <v>0</v>
      </c>
      <c r="G60" s="46">
        <f t="shared" si="0"/>
        <v>1.5833333333333333</v>
      </c>
    </row>
    <row r="61" spans="1:7">
      <c r="A61" s="44">
        <v>20</v>
      </c>
      <c r="B61" s="49">
        <v>1.6437370069019521</v>
      </c>
      <c r="C61" s="49">
        <v>7.2521261250293581</v>
      </c>
      <c r="D61" s="49" t="str">
        <v>Closed</v>
      </c>
      <c r="E61" s="48">
        <v>-4847.9738163253478</v>
      </c>
      <c r="F61" s="9">
        <v>0</v>
      </c>
      <c r="G61" s="46">
        <f t="shared" si="0"/>
        <v>1.6666666666666667</v>
      </c>
    </row>
    <row r="62" spans="1:7">
      <c r="A62" s="44">
        <v>21</v>
      </c>
      <c r="B62" s="49">
        <v>1.6843292181910099</v>
      </c>
      <c r="C62" s="49">
        <v>7.4312179351705208</v>
      </c>
      <c r="D62" s="49" t="str">
        <v>Closed</v>
      </c>
      <c r="E62" s="48">
        <v>-4566.7607434876827</v>
      </c>
      <c r="F62" s="9">
        <v>0</v>
      </c>
      <c r="G62" s="46">
        <f t="shared" si="0"/>
        <v>1.75</v>
      </c>
    </row>
    <row r="63" spans="1:7">
      <c r="A63" s="44">
        <v>22</v>
      </c>
      <c r="B63" s="49">
        <v>1.7239659169034889</v>
      </c>
      <c r="C63" s="49">
        <v>7.6060940479767059</v>
      </c>
      <c r="D63" s="49" t="str">
        <v>Closed</v>
      </c>
      <c r="E63" s="48">
        <v>-4291.949310963053</v>
      </c>
      <c r="F63" s="9">
        <v>0</v>
      </c>
      <c r="G63" s="46">
        <f t="shared" si="0"/>
        <v>1.8333333333333333</v>
      </c>
    </row>
    <row r="64" spans="1:7">
      <c r="A64" s="44">
        <v>23</v>
      </c>
      <c r="B64" s="49">
        <v>1.762711561781404</v>
      </c>
      <c r="C64" s="49">
        <v>7.7770388537883317</v>
      </c>
      <c r="D64" s="49" t="str">
        <v>Closed</v>
      </c>
      <c r="E64" s="48">
        <v>-4033.2139822920881</v>
      </c>
      <c r="F64" s="9">
        <v>0</v>
      </c>
      <c r="G64" s="46">
        <f t="shared" si="0"/>
        <v>1.9166666666666667</v>
      </c>
    </row>
    <row r="65" spans="1:7">
      <c r="A65" s="44">
        <v>24</v>
      </c>
      <c r="B65" s="49">
        <v>1.8006236745724482</v>
      </c>
      <c r="C65" s="49">
        <v>7.9443061371022203</v>
      </c>
      <c r="D65" s="49" t="str">
        <v>Closed</v>
      </c>
      <c r="E65" s="48">
        <v>-3813.0249093125749</v>
      </c>
      <c r="F65" s="9">
        <v>0</v>
      </c>
      <c r="G65" s="46">
        <f t="shared" si="0"/>
        <v>2</v>
      </c>
    </row>
    <row r="66" spans="1:7">
      <c r="A66" s="44">
        <v>25</v>
      </c>
      <c r="B66" s="49">
        <v>1.8377538422824031</v>
      </c>
      <c r="C66" s="49">
        <v>8.1081234984838915</v>
      </c>
      <c r="D66" s="49" t="str">
        <v>Closed</v>
      </c>
      <c r="E66" s="48">
        <v>-3334.0720709961715</v>
      </c>
      <c r="F66" s="9">
        <v>0</v>
      </c>
      <c r="G66" s="46">
        <f t="shared" si="0"/>
        <v>2.0833333333333335</v>
      </c>
    </row>
    <row r="67" spans="1:7">
      <c r="A67" s="44">
        <v>26</v>
      </c>
      <c r="B67" s="49">
        <v>1.874148540595618</v>
      </c>
      <c r="C67" s="49">
        <v>8.268695987477912</v>
      </c>
      <c r="D67" s="49" t="str">
        <v>Closed</v>
      </c>
      <c r="E67" s="48">
        <v>-3158.729313023814</v>
      </c>
      <c r="F67" s="9">
        <v>0</v>
      </c>
      <c r="G67" s="46">
        <f t="shared" si="0"/>
        <v>2.1666666666666665</v>
      </c>
    </row>
    <row r="68" spans="1:7">
      <c r="A68" s="44">
        <v>27</v>
      </c>
      <c r="B68" s="49">
        <v>1.9098498159828259</v>
      </c>
      <c r="C68" s="49">
        <v>8.4262091120503282</v>
      </c>
      <c r="D68" s="49" t="str">
        <v>Closed</v>
      </c>
      <c r="E68" s="48">
        <v>-2983.3865550514565</v>
      </c>
      <c r="F68" s="9">
        <v>0</v>
      </c>
      <c r="G68" s="46">
        <f t="shared" si="0"/>
        <v>2.25</v>
      </c>
    </row>
    <row r="69" spans="1:7">
      <c r="A69" s="44">
        <v>28</v>
      </c>
      <c r="B69" s="49">
        <v>1.9448958550530626</v>
      </c>
      <c r="C69" s="49">
        <v>8.5808313505549485</v>
      </c>
      <c r="D69" s="49" t="str">
        <v>Closed</v>
      </c>
      <c r="E69" s="48">
        <v>-2808.0437970790972</v>
      </c>
      <c r="F69" s="9">
        <v>0</v>
      </c>
      <c r="G69" s="46">
        <f t="shared" si="0"/>
        <v>2.3333333333333335</v>
      </c>
    </row>
    <row r="70" spans="1:7">
      <c r="A70" s="44">
        <v>29</v>
      </c>
      <c r="B70" s="49">
        <v>1.9793214631270819</v>
      </c>
      <c r="C70" s="49">
        <v>8.7327162631871484</v>
      </c>
      <c r="D70" s="49" t="str">
        <v>Closed</v>
      </c>
      <c r="E70" s="48">
        <v>-2632.7010391067397</v>
      </c>
      <c r="F70" s="9">
        <v>0</v>
      </c>
      <c r="G70" s="46">
        <f t="shared" si="0"/>
        <v>2.4166666666666665</v>
      </c>
    </row>
    <row r="71" spans="1:7">
      <c r="A71" s="44">
        <v>30</v>
      </c>
      <c r="B71" s="49">
        <v>2.0131584691197268</v>
      </c>
      <c r="C71" s="49">
        <v>8.882004278314664</v>
      </c>
      <c r="D71" s="49" t="str">
        <v>Closed</v>
      </c>
      <c r="E71" s="48">
        <v>-2457.3582811343804</v>
      </c>
      <c r="F71" s="9">
        <v>0</v>
      </c>
      <c r="G71" s="46">
        <f t="shared" si="0"/>
        <v>2.5</v>
      </c>
    </row>
    <row r="72" spans="1:7">
      <c r="A72" s="44">
        <v>31</v>
      </c>
      <c r="B72" s="49">
        <v>2.0464360701427817</v>
      </c>
      <c r="C72" s="49">
        <v>9.0288242128566587</v>
      </c>
      <c r="D72" s="49" t="str">
        <v>Closed</v>
      </c>
      <c r="E72" s="48">
        <v>-2282.015523162022</v>
      </c>
      <c r="F72" s="9">
        <v>0</v>
      </c>
      <c r="G72" s="46">
        <f t="shared" si="0"/>
        <v>2.5833333333333335</v>
      </c>
    </row>
    <row r="73" spans="1:7">
      <c r="A73" s="44">
        <v>32</v>
      </c>
      <c r="B73" s="49">
        <v>2.0791811264472324</v>
      </c>
      <c r="C73" s="49">
        <v>9.1732945735615274</v>
      </c>
      <c r="D73" s="49" t="str">
        <v>Closed</v>
      </c>
      <c r="E73" s="48">
        <v>-2106.6727651896645</v>
      </c>
      <c r="F73" s="9">
        <v>0</v>
      </c>
      <c r="G73" s="46">
        <f t="shared" si="0"/>
        <v>2.6666666666666665</v>
      </c>
    </row>
    <row r="74" spans="1:7">
      <c r="A74" s="44">
        <v>33</v>
      </c>
      <c r="B74" s="49">
        <v>2.1114184151814466</v>
      </c>
      <c r="C74" s="49">
        <v>9.3155246765815622</v>
      </c>
      <c r="D74" s="49" t="str">
        <v>Closed</v>
      </c>
      <c r="E74" s="48">
        <v>-1931.330007217306</v>
      </c>
      <c r="F74" s="9">
        <v>0</v>
      </c>
      <c r="G74" s="46">
        <f t="shared" si="0"/>
        <v>2.75</v>
      </c>
    </row>
    <row r="75" spans="1:7">
      <c r="A75" s="44">
        <v>34</v>
      </c>
      <c r="B75" s="49">
        <v>2.1431708497831621</v>
      </c>
      <c r="C75" s="49">
        <v>9.4556156154248718</v>
      </c>
      <c r="D75" s="49" t="str">
        <v>Closed</v>
      </c>
      <c r="E75" s="48">
        <v>-1755.9872492449467</v>
      </c>
      <c r="F75" s="9">
        <v>0</v>
      </c>
      <c r="G75" s="46">
        <f t="shared" si="0"/>
        <v>2.8333333333333335</v>
      </c>
    </row>
    <row r="76" spans="1:7">
      <c r="A76" s="44">
        <v>35</v>
      </c>
      <c r="B76" s="49">
        <v>2.1744596705281127</v>
      </c>
      <c r="C76" s="49">
        <v>9.5936611016510955</v>
      </c>
      <c r="D76" s="49" t="str">
        <v>Closed</v>
      </c>
      <c r="E76" s="48">
        <v>-1580.6444912725892</v>
      </c>
      <c r="F76" s="9">
        <v>0</v>
      </c>
      <c r="G76" s="46">
        <f t="shared" si="0"/>
        <v>2.9166666666666665</v>
      </c>
    </row>
    <row r="77" spans="1:7">
      <c r="A77" s="44">
        <v>36</v>
      </c>
      <c r="B77" s="49">
        <v>2.2053046107388834</v>
      </c>
      <c r="C77" s="49">
        <v>9.729748198180669</v>
      </c>
      <c r="D77" s="49" t="str">
        <v>Closed</v>
      </c>
      <c r="E77" s="48">
        <v>-1405.3017333002308</v>
      </c>
      <c r="F77" s="9">
        <v>0</v>
      </c>
      <c r="G77" s="46">
        <f t="shared" si="0"/>
        <v>3</v>
      </c>
    </row>
    <row r="78" spans="1:7">
      <c r="A78" s="44">
        <v>37</v>
      </c>
      <c r="B78" s="49">
        <v>2.2357240423493971</v>
      </c>
      <c r="C78">
        <v>9.8639579615216668</v>
      </c>
      <c r="D78" s="49" t="str">
        <v>Closed</v>
      </c>
      <c r="E78" s="48">
        <v>-1229.9589753278724</v>
      </c>
      <c r="F78" s="9">
        <v>0</v>
      </c>
      <c r="G78" s="46">
        <f t="shared" si="0"/>
        <v>3.0833333333333335</v>
      </c>
    </row>
    <row r="79" spans="1:7">
      <c r="A79" s="44">
        <v>38</v>
      </c>
      <c r="B79" s="49">
        <v>2.2657351038751368</v>
      </c>
      <c r="C79">
        <v>9.996366006371181</v>
      </c>
      <c r="D79" s="49" t="str">
        <v>Closed</v>
      </c>
      <c r="E79" s="48">
        <v>-1054.6162173555149</v>
      </c>
      <c r="F79" s="9">
        <v>0</v>
      </c>
      <c r="G79" s="46">
        <f t="shared" si="0"/>
        <v>3.1666666666666665</v>
      </c>
    </row>
    <row r="80" spans="1:7">
      <c r="A80" s="44">
        <v>39</v>
      </c>
      <c r="B80" s="49">
        <v>2.2953538133205145</v>
      </c>
      <c r="C80">
        <v>10.127043003759784</v>
      </c>
      <c r="D80" s="49" t="str">
        <v>Closed</v>
      </c>
      <c r="E80" s="48">
        <v>-879.27345938315557</v>
      </c>
      <c r="F80" s="9">
        <v>0</v>
      </c>
      <c r="G80" s="46">
        <f t="shared" si="0"/>
        <v>3.25</v>
      </c>
    </row>
    <row r="81" spans="1:7">
      <c r="A81" s="44">
        <v>40</v>
      </c>
      <c r="B81" s="49">
        <v>2.3245951681352985</v>
      </c>
      <c r="C81">
        <v>10.256055122056758</v>
      </c>
      <c r="D81" s="49" t="str">
        <v>Closed</v>
      </c>
      <c r="E81" s="48">
        <v>-703.93070141079716</v>
      </c>
      <c r="F81" s="9">
        <v>0</v>
      </c>
      <c r="G81" s="46">
        <f t="shared" si="0"/>
        <v>3.3333333333333335</v>
      </c>
    </row>
    <row r="82" spans="1:7">
      <c r="A82" s="44">
        <v>41</v>
      </c>
      <c r="B82" s="49">
        <v>2.3534732339907598</v>
      </c>
      <c r="C82">
        <v>10.383464418648206</v>
      </c>
      <c r="D82" s="49" t="str">
        <v>Closed</v>
      </c>
      <c r="E82" s="48">
        <v>-528.58794343843965</v>
      </c>
      <c r="F82" s="9">
        <v>0</v>
      </c>
      <c r="G82" s="46">
        <f t="shared" si="0"/>
        <v>3.4166666666666665</v>
      </c>
    </row>
    <row r="83" spans="1:7">
      <c r="A83" s="44">
        <v>42</v>
      </c>
      <c r="B83" s="49">
        <v>2.3820012238669981</v>
      </c>
      <c r="C83">
        <v>10.509329188868337</v>
      </c>
      <c r="D83" s="49" t="str">
        <v>Closed</v>
      </c>
      <c r="E83" s="48">
        <v>-353.24518546608033</v>
      </c>
      <c r="F83" s="9">
        <v>0</v>
      </c>
      <c r="G83" s="46">
        <f t="shared" si="0"/>
        <v>3.5</v>
      </c>
    </row>
    <row r="84" spans="1:7">
      <c r="A84" s="44">
        <v>43</v>
      </c>
      <c r="B84" s="49">
        <v>2.4101915687133308</v>
      </c>
      <c r="C84">
        <v>10.633704277751319</v>
      </c>
      <c r="D84" s="49" t="str">
        <v>Closed</v>
      </c>
      <c r="E84" s="48">
        <v>-177.90242749372283</v>
      </c>
      <c r="F84" s="9">
        <v>0</v>
      </c>
      <c r="G84" s="46">
        <f t="shared" si="0"/>
        <v>3.5833333333333335</v>
      </c>
    </row>
    <row r="85" spans="1:7">
      <c r="A85" s="44">
        <v>44</v>
      </c>
      <c r="B85" s="49">
        <v>2.438055980753882</v>
      </c>
      <c r="C85">
        <v>10.75664135933393</v>
      </c>
      <c r="D85" s="49" t="str">
        <v>Closed</v>
      </c>
      <c r="E85" s="48">
        <v>-2.5596695213644125</v>
      </c>
      <c r="F85" s="9">
        <v>0</v>
      </c>
      <c r="G85" s="46">
        <f t="shared" si="0"/>
        <v>3.6666666666666665</v>
      </c>
    </row>
    <row r="86" spans="1:7">
      <c r="A86" s="44">
        <v>45</v>
      </c>
      <c r="B86" s="49">
        <v>34.174839235948269</v>
      </c>
      <c r="C86">
        <v>10.878189187544038</v>
      </c>
      <c r="D86" s="49" t="str">
        <v>Open</v>
      </c>
      <c r="E86" s="48">
        <v>172.78308845099491</v>
      </c>
      <c r="F86" s="9" t="str">
        <v>Fully Open</v>
      </c>
      <c r="G86" s="46">
        <f t="shared" si="0"/>
        <v>3.75</v>
      </c>
    </row>
    <row r="87" spans="1:7">
      <c r="A87" s="44">
        <v>46</v>
      </c>
      <c r="B87" s="49">
        <v>34.552473232890883</v>
      </c>
      <c r="C87">
        <v>10.998393822129971</v>
      </c>
      <c r="D87" s="49" t="str">
        <v>Open</v>
      </c>
      <c r="E87" s="48">
        <v>348.12584642335332</v>
      </c>
      <c r="F87" s="9" t="str">
        <v>Fully Open</v>
      </c>
      <c r="G87" s="46">
        <f t="shared" si="0"/>
        <v>3.8333333333333335</v>
      </c>
    </row>
    <row r="88" spans="1:7">
      <c r="A88" s="44">
        <v>47</v>
      </c>
      <c r="B88" s="49">
        <v>34.926024340259112</v>
      </c>
      <c r="C88">
        <v>11.117298832600181</v>
      </c>
      <c r="D88" s="49" t="str">
        <v>Open</v>
      </c>
      <c r="E88" s="48">
        <v>523.46860439571174</v>
      </c>
      <c r="F88" s="9" t="str">
        <v>Fully Open</v>
      </c>
      <c r="G88" s="46">
        <f t="shared" si="0"/>
        <v>3.9166666666666665</v>
      </c>
    </row>
    <row r="89" spans="1:7">
      <c r="A89" s="44">
        <v>48</v>
      </c>
      <c r="B89" s="49">
        <v>35.295622192038259</v>
      </c>
      <c r="C89">
        <v>11.234945482733774</v>
      </c>
      <c r="D89" s="49" t="str">
        <v>Open</v>
      </c>
      <c r="E89" s="48">
        <v>698.81136236806742</v>
      </c>
      <c r="F89" s="9" t="str">
        <v>Fully Open</v>
      </c>
      <c r="G89" s="46">
        <f t="shared" si="0"/>
        <v>4</v>
      </c>
    </row>
    <row r="90" spans="1:7">
      <c r="A90" s="44">
        <v>49</v>
      </c>
      <c r="B90" s="49">
        <v>35.66138970413008</v>
      </c>
      <c r="C90">
        <v>11.35137289787745</v>
      </c>
      <c r="D90" s="49" t="str">
        <v>Open</v>
      </c>
      <c r="E90" s="48">
        <v>874.15412034042674</v>
      </c>
      <c r="F90" s="9" t="str">
        <v>Fully Open</v>
      </c>
      <c r="G90" s="46">
        <f t="shared" si="0"/>
        <v>4.083333333333333</v>
      </c>
    </row>
    <row r="91" spans="1:7">
      <c r="A91" s="44">
        <v>50</v>
      </c>
      <c r="B91" s="49">
        <v>36.023443551895006</v>
      </c>
      <c r="C91">
        <v>11.466618216951908</v>
      </c>
      <c r="D91" s="49" t="str">
        <v>Open</v>
      </c>
      <c r="E91" s="48">
        <v>1049.4968783127879</v>
      </c>
      <c r="F91" s="9" t="str">
        <v>Fully Open</v>
      </c>
      <c r="G91" s="46">
        <f t="shared" si="0"/>
        <v>4.166666666666667</v>
      </c>
    </row>
    <row r="92" spans="1:7">
      <c r="A92" s="44">
        <v>51</v>
      </c>
      <c r="B92" s="49">
        <v>36.381894604917122</v>
      </c>
      <c r="C92">
        <v>11.580716730841838</v>
      </c>
      <c r="D92" s="49" t="str">
        <v>Open</v>
      </c>
      <c r="E92" s="48">
        <v>1224.8396362851454</v>
      </c>
      <c r="F92" s="9" t="str">
        <v>Fully Open</v>
      </c>
      <c r="G92" s="46">
        <f t="shared" si="0"/>
        <v>4.25</v>
      </c>
    </row>
    <row r="93" spans="1:7">
      <c r="A93" s="44">
        <v>52</v>
      </c>
      <c r="B93" s="49">
        <v>36.736848323584155</v>
      </c>
      <c r="C93">
        <v>11.693702008631254</v>
      </c>
      <c r="D93" s="49" t="str">
        <v>Open</v>
      </c>
      <c r="E93" s="48">
        <v>1400.1823942575029</v>
      </c>
      <c r="F93" s="9" t="str">
        <v>Fully Open</v>
      </c>
      <c r="G93" s="46">
        <f t="shared" si="0"/>
        <v>4.333333333333333</v>
      </c>
    </row>
    <row r="94" spans="1:7">
      <c r="A94" s="44">
        <v>53</v>
      </c>
      <c r="B94" s="49">
        <v>37.088405121503406</v>
      </c>
      <c r="C94">
        <v>11.805606012964068</v>
      </c>
      <c r="D94" s="49" t="str">
        <v>Open</v>
      </c>
      <c r="E94" s="48">
        <v>1575.5251522298604</v>
      </c>
      <c r="F94" s="9" t="str">
        <v>Fully Open</v>
      </c>
      <c r="G94" s="46">
        <f t="shared" si="0"/>
        <v>4.416666666666667</v>
      </c>
    </row>
    <row r="95" spans="1:7">
      <c r="A95" s="44">
        <v>54</v>
      </c>
      <c r="B95" s="49">
        <v>37.436660697282967</v>
      </c>
      <c r="C95">
        <v>11.91645920565333</v>
      </c>
      <c r="D95" s="49" t="str">
        <v>Open</v>
      </c>
      <c r="E95" s="48">
        <v>1750.8679102022179</v>
      </c>
      <c r="F95" s="9" t="str">
        <v>Fully Open</v>
      </c>
      <c r="G95" s="46">
        <f t="shared" si="0"/>
        <v>4.5</v>
      </c>
    </row>
    <row r="96" spans="1:7">
      <c r="A96" s="44">
        <v>55</v>
      </c>
      <c r="B96" s="49">
        <v>37.781706338785476</v>
      </c>
      <c r="C96">
        <v>12.026290644528208</v>
      </c>
      <c r="D96" s="49" t="str">
        <v>Open</v>
      </c>
      <c r="E96" s="48">
        <v>1926.2106681745772</v>
      </c>
      <c r="F96" s="9" t="str">
        <v>Fully Open</v>
      </c>
      <c r="G96" s="46">
        <f t="shared" si="0"/>
        <v>4.583333333333333</v>
      </c>
    </row>
    <row r="97" spans="1:7">
      <c r="A97" s="44">
        <v>56</v>
      </c>
      <c r="B97" s="49">
        <v>38.123629202594991</v>
      </c>
      <c r="C97">
        <v>12.13512807239105</v>
      </c>
      <c r="D97" s="49" t="str">
        <v>Open</v>
      </c>
      <c r="E97" s="48">
        <v>2101.5534261469365</v>
      </c>
      <c r="F97" s="9" t="str">
        <v>Fully Open</v>
      </c>
      <c r="G97" s="46">
        <f t="shared" si="0"/>
        <v>4.666666666666667</v>
      </c>
    </row>
    <row r="98" spans="1:7">
      <c r="A98" s="44">
        <v>57</v>
      </c>
      <c r="B98" s="49">
        <v>38.462512571121572</v>
      </c>
      <c r="C98">
        <v>12.242997998856326</v>
      </c>
      <c r="D98" s="49" t="str">
        <v>Open</v>
      </c>
      <c r="E98" s="48">
        <v>2276.896184119294</v>
      </c>
      <c r="F98" s="9" t="str">
        <v>Fully Open</v>
      </c>
      <c r="G98" s="46">
        <f t="shared" si="0"/>
        <v>4.75</v>
      </c>
    </row>
    <row r="99" spans="1:7">
      <c r="A99" s="44">
        <v>58</v>
      </c>
      <c r="B99" s="49">
        <v>38.79843608949227</v>
      </c>
      <c r="C99">
        <v>12.349925775755361</v>
      </c>
      <c r="D99" s="49" t="str">
        <v>Open</v>
      </c>
      <c r="E99" s="48">
        <v>2452.2389420916516</v>
      </c>
      <c r="F99" s="9" t="str">
        <v>Fully Open</v>
      </c>
      <c r="G99" s="46">
        <f t="shared" si="0"/>
        <v>4.833333333333333</v>
      </c>
    </row>
    <row r="100" spans="1:7">
      <c r="A100" s="44">
        <v>59</v>
      </c>
      <c r="B100" s="49">
        <v>39.131475984137722</v>
      </c>
      <c r="C100">
        <v>12.455935666714616</v>
      </c>
      <c r="D100" s="49" t="str">
        <v>Open</v>
      </c>
      <c r="E100" s="48">
        <v>2627.5817000640109</v>
      </c>
      <c r="F100" s="9" t="str">
        <v>Fully Open</v>
      </c>
      <c r="G100" s="46">
        <f t="shared" si="0"/>
        <v>4.916666666666667</v>
      </c>
    </row>
    <row r="101" spans="1:7">
      <c r="A101" s="44">
        <v>60</v>
      </c>
      <c r="B101" s="49">
        <v>39.461705264773833</v>
      </c>
      <c r="C101">
        <v>12.561050911448453</v>
      </c>
      <c r="D101" s="49" t="str">
        <v>Open</v>
      </c>
      <c r="E101" s="48">
        <v>2802.9244580363702</v>
      </c>
      <c r="F101" s="9" t="str">
        <v>Fully Open</v>
      </c>
      <c r="G101" s="46">
        <f t="shared" si="0"/>
        <v>5</v>
      </c>
    </row>
    <row r="102" spans="1:7">
      <c r="A102" s="44">
        <v>61</v>
      </c>
      <c r="B102" s="49">
        <v>39.789193911294689</v>
      </c>
      <c r="C102">
        <v>12.66529378524899</v>
      </c>
      <c r="D102" s="49" t="str">
        <v>Open</v>
      </c>
      <c r="E102" s="48">
        <v>2978.2672160087277</v>
      </c>
      <c r="F102" s="9" t="str">
        <v>Fully Open</v>
      </c>
      <c r="G102" s="46">
        <f t="shared" si="0"/>
        <v>5.083333333333333</v>
      </c>
    </row>
    <row r="103" spans="1:7">
      <c r="A103" s="44">
        <v>62</v>
      </c>
      <c r="B103" s="49">
        <v>40.11400904693199</v>
      </c>
      <c r="C103">
        <v>12.768685654104472</v>
      </c>
      <c r="D103" s="49" t="str">
        <v>Open</v>
      </c>
      <c r="E103" s="48">
        <v>3153.609973981087</v>
      </c>
      <c r="F103" s="9" t="str">
        <v>Fully Open</v>
      </c>
      <c r="G103" s="46">
        <f t="shared" si="0"/>
        <v>5.166666666666667</v>
      </c>
    </row>
    <row r="104" spans="1:7">
      <c r="A104" s="44">
        <v>63</v>
      </c>
      <c r="B104" s="49">
        <v>40.436215098894621</v>
      </c>
      <c r="C104">
        <v>12.871247025832425</v>
      </c>
      <c r="D104" s="49" t="str">
        <v>Open</v>
      </c>
      <c r="E104" s="48">
        <v>3328.9527319534445</v>
      </c>
      <c r="F104" s="9" t="str">
        <v>Fully Open</v>
      </c>
      <c r="G104" s="46">
        <f t="shared" si="0"/>
        <v>5.25</v>
      </c>
    </row>
    <row r="105" spans="1:7">
      <c r="A105" s="44">
        <v>64</v>
      </c>
      <c r="B105" s="49">
        <v>40.755873947577228</v>
      </c>
      <c r="C105">
        <v>12.972997597574228</v>
      </c>
      <c r="D105" s="49" t="str">
        <v>Open</v>
      </c>
      <c r="E105" s="48">
        <v>3504.295489925802</v>
      </c>
      <c r="F105" s="9" t="str">
        <v>Fully Open</v>
      </c>
      <c r="G105" s="46">
        <f t="shared" si="0"/>
        <v>5.333333333333333</v>
      </c>
    </row>
    <row r="106" spans="1:7">
      <c r="A106" s="44">
        <v>65</v>
      </c>
      <c r="B106" s="49">
        <v>41.073045065316691</v>
      </c>
      <c r="C106">
        <v>13.073956299962662</v>
      </c>
      <c r="D106" s="49" t="str">
        <v>Open</v>
      </c>
      <c r="E106" s="48">
        <v>3679.6382478981614</v>
      </c>
      <c r="F106" s="9" t="str">
        <v>Fully Open</v>
      </c>
      <c r="G106" s="46">
        <f t="shared" si="0"/>
        <v>5.416666666666667</v>
      </c>
    </row>
    <row r="107" spans="1:7">
      <c r="A107" s="44">
        <v>66</v>
      </c>
      <c r="B107" s="49">
        <v>41.387785645577452</v>
      </c>
      <c r="C107">
        <v>13.174141338242885</v>
      </c>
      <c r="D107" s="49" t="str">
        <v>Open</v>
      </c>
      <c r="E107" s="48">
        <v>3854.9810058705189</v>
      </c>
      <c r="F107" s="9" t="str">
        <v>Fully Open</v>
      </c>
      <c r="G107" s="46">
        <f t="shared" ref="G107:G170" si="1">A107/12</f>
        <v>5.5</v>
      </c>
    </row>
    <row r="108" spans="1:7">
      <c r="A108" s="44">
        <v>67</v>
      </c>
      <c r="B108" s="49">
        <v>41.700150723360679</v>
      </c>
      <c r="C108">
        <v>13.273570230599855</v>
      </c>
      <c r="D108" s="49" t="str">
        <v>Open</v>
      </c>
      <c r="E108" s="48">
        <v>4030.3237638428764</v>
      </c>
      <c r="F108" s="9" t="str">
        <v>Fully Open</v>
      </c>
      <c r="G108" s="46">
        <f t="shared" si="1"/>
        <v>5.583333333333333</v>
      </c>
    </row>
    <row r="109" spans="1:7">
      <c r="A109" s="44">
        <v>68</v>
      </c>
      <c r="B109" s="49">
        <v>42.010193287554983</v>
      </c>
      <c r="C109">
        <v>13.372259843920673</v>
      </c>
      <c r="D109" s="49" t="str">
        <v>Open</v>
      </c>
      <c r="E109" s="48">
        <v>4205.6665218152375</v>
      </c>
      <c r="F109" s="9" t="str">
        <v>Fully Open</v>
      </c>
      <c r="G109" s="46">
        <f t="shared" si="1"/>
        <v>5.666666666666667</v>
      </c>
    </row>
    <row r="110" spans="1:7">
      <c r="A110" s="44">
        <v>69</v>
      </c>
      <c r="B110" s="49">
        <v>42.317964385878255</v>
      </c>
      <c r="C110">
        <v>13.470226427198615</v>
      </c>
      <c r="D110" s="49" t="str">
        <v>Open</v>
      </c>
      <c r="E110" s="48">
        <v>4381.009279787595</v>
      </c>
      <c r="F110" s="9" t="str">
        <v>Fully Open</v>
      </c>
      <c r="G110" s="46">
        <f t="shared" si="1"/>
        <v>5.75</v>
      </c>
    </row>
    <row r="111" spans="1:7">
      <c r="A111" s="44">
        <v>70</v>
      </c>
      <c r="B111" s="49">
        <v>42.62351322299925</v>
      </c>
      <c r="C111">
        <v>13.567485642766188</v>
      </c>
      <c r="D111" s="49" t="str">
        <v>Open</v>
      </c>
      <c r="E111" s="48">
        <v>4556.3520377599525</v>
      </c>
      <c r="F111" s="9" t="str">
        <v>Fully Open</v>
      </c>
      <c r="G111" s="46">
        <f t="shared" si="1"/>
        <v>5.833333333333333</v>
      </c>
    </row>
    <row r="112" spans="1:7">
      <c r="A112" s="44">
        <v>71</v>
      </c>
      <c r="B112" s="49">
        <v>42.926887252372765</v>
      </c>
      <c r="C112">
        <v>13.66405259552719</v>
      </c>
      <c r="D112" s="49" t="str">
        <v>Open</v>
      </c>
      <c r="E112" s="48">
        <v>4731.6947957323118</v>
      </c>
      <c r="F112" s="9" t="str">
        <v>Fully Open</v>
      </c>
      <c r="G112" s="46">
        <f t="shared" si="1"/>
        <v>5.916666666666667</v>
      </c>
    </row>
    <row r="113" spans="1:7">
      <c r="A113" s="44">
        <v>72</v>
      </c>
      <c r="B113" s="49">
        <v>43.228132262274002</v>
      </c>
      <c r="C113">
        <v>13.759941860342288</v>
      </c>
      <c r="D113" s="49" t="str">
        <v>Open</v>
      </c>
      <c r="E113" s="48">
        <v>4907.0375537046693</v>
      </c>
      <c r="F113" s="9" t="str">
        <v>Fully Open</v>
      </c>
      <c r="G113" s="46">
        <f t="shared" si="1"/>
        <v>6</v>
      </c>
    </row>
    <row r="114" spans="1:7">
      <c r="A114" s="44">
        <v>73</v>
      </c>
      <c r="B114" s="49">
        <v>43.527292456473631</v>
      </c>
      <c r="C114">
        <v>13.855167507708693</v>
      </c>
      <c r="D114" s="49" t="str">
        <v>Open</v>
      </c>
      <c r="E114" s="48">
        <v>5082.3803116770268</v>
      </c>
      <c r="F114" s="9" t="str">
        <v>Fully Open</v>
      </c>
      <c r="G114" s="46">
        <f t="shared" si="1"/>
        <v>6.083333333333333</v>
      </c>
    </row>
    <row r="115" spans="1:7">
      <c r="A115" s="44">
        <v>74</v>
      </c>
      <c r="B115" s="49">
        <v>43.824410529955991</v>
      </c>
      <c r="C115">
        <v>13.949743127862009</v>
      </c>
      <c r="D115" s="49" t="str">
        <v>Open</v>
      </c>
      <c r="E115" s="48">
        <v>5257.7230696493862</v>
      </c>
      <c r="F115" s="9" t="str">
        <v>Fully Open</v>
      </c>
      <c r="G115" s="46">
        <f t="shared" si="1"/>
        <v>6.166666666666667</v>
      </c>
    </row>
    <row r="116" spans="1:7">
      <c r="A116" s="44">
        <v>75</v>
      </c>
      <c r="B116" s="49">
        <v>44.119527740047822</v>
      </c>
      <c r="C116">
        <v>14.043681853417217</v>
      </c>
      <c r="D116" s="49" t="str">
        <v>Open</v>
      </c>
      <c r="E116" s="48">
        <v>5433.0658276217455</v>
      </c>
      <c r="F116" s="9" t="str">
        <v>Fully Open</v>
      </c>
      <c r="G116" s="46">
        <f t="shared" si="1"/>
        <v>6.25</v>
      </c>
    </row>
    <row r="117" spans="1:7">
      <c r="A117" s="44">
        <v>76</v>
      </c>
      <c r="B117" s="49">
        <v>44.412683973292808</v>
      </c>
      <c r="C117">
        <v>14.136996380655498</v>
      </c>
      <c r="D117" s="49" t="str">
        <v>Open</v>
      </c>
      <c r="E117" s="48">
        <v>5608.4085855941012</v>
      </c>
      <c r="F117" s="9" t="str">
        <v>Fully Open</v>
      </c>
      <c r="G117" s="46">
        <f t="shared" si="1"/>
        <v>6.333333333333333</v>
      </c>
    </row>
    <row r="118" spans="1:7">
      <c r="A118" s="44">
        <v>77</v>
      </c>
      <c r="B118" s="49">
        <v>44.703917808379067</v>
      </c>
      <c r="C118">
        <v>14.229698989554674</v>
      </c>
      <c r="D118" s="49" t="str">
        <v>Open</v>
      </c>
      <c r="E118" s="48">
        <v>5783.7513435664605</v>
      </c>
      <c r="F118" s="9" t="str">
        <v>Fully Open</v>
      </c>
      <c r="G118" s="46">
        <f t="shared" si="1"/>
        <v>6.416666666666667</v>
      </c>
    </row>
    <row r="119" spans="1:7">
      <c r="A119" s="44">
        <v>78</v>
      </c>
      <c r="B119" s="49">
        <v>44.993266575400405</v>
      </c>
      <c r="C119">
        <v>14.321801562652656</v>
      </c>
      <c r="D119" s="49" t="str">
        <v>Open</v>
      </c>
      <c r="E119" s="48">
        <v>5959.0941015388198</v>
      </c>
      <c r="F119" s="9" t="str">
        <v>Fully Open</v>
      </c>
      <c r="G119" s="46">
        <f t="shared" si="1"/>
        <v>6.5</v>
      </c>
    </row>
    <row r="120" spans="1:7">
      <c r="A120" s="44">
        <v>79</v>
      </c>
      <c r="B120" s="49">
        <v>45.280766411709223</v>
      </c>
      <c r="C120">
        <v>14.413315602825975</v>
      </c>
      <c r="D120" s="49" t="str">
        <v>Open</v>
      </c>
      <c r="E120" s="48">
        <v>6134.4368595111755</v>
      </c>
      <c r="F120" s="9" t="str">
        <v>Fully Open</v>
      </c>
      <c r="G120" s="46">
        <f t="shared" si="1"/>
        <v>6.583333333333333</v>
      </c>
    </row>
    <row r="121" spans="1:7">
      <c r="A121" s="44">
        <v>80</v>
      </c>
      <c r="B121" s="49">
        <v>45.56645231459769</v>
      </c>
      <c r="C121">
        <v>14.504252250058716</v>
      </c>
      <c r="D121" s="49" t="str">
        <v>Open</v>
      </c>
      <c r="E121" s="48">
        <v>6309.7796174835366</v>
      </c>
      <c r="F121" s="9" t="str">
        <v>Fully Open</v>
      </c>
      <c r="G121" s="46">
        <f t="shared" si="1"/>
        <v>6.666666666666667</v>
      </c>
    </row>
    <row r="122" spans="1:7">
      <c r="A122" s="44">
        <v>81</v>
      </c>
      <c r="B122" s="49">
        <v>45.850358191024384</v>
      </c>
      <c r="C122">
        <v>14.594622297271007</v>
      </c>
      <c r="D122" s="49" t="str">
        <v>Open</v>
      </c>
      <c r="E122" s="48">
        <v>6485.1223754558941</v>
      </c>
      <c r="F122" s="9" t="str">
        <v>Fully Open</v>
      </c>
      <c r="G122" s="46">
        <f t="shared" si="1"/>
        <v>6.75</v>
      </c>
    </row>
    <row r="123" spans="1:7">
      <c r="A123" s="44">
        <v>82</v>
      </c>
      <c r="B123" s="49">
        <v>46.132516904586595</v>
      </c>
      <c r="C123">
        <v>14.684436205270758</v>
      </c>
      <c r="D123" s="49" t="str">
        <v>Open</v>
      </c>
      <c r="E123" s="48">
        <v>6660.4651334282516</v>
      </c>
      <c r="F123" s="9" t="str">
        <v>Fully Open</v>
      </c>
      <c r="G123" s="46">
        <f t="shared" si="1"/>
        <v>6.833333333333333</v>
      </c>
    </row>
    <row r="124" spans="1:7">
      <c r="A124" s="44">
        <v>83</v>
      </c>
      <c r="B124" s="49">
        <v>46.41296031992249</v>
      </c>
      <c r="C124">
        <v>14.773704116887322</v>
      </c>
      <c r="D124" s="49" t="str">
        <v>Open</v>
      </c>
      <c r="E124" s="48">
        <v>6835.8078914006146</v>
      </c>
      <c r="F124" s="9" t="str">
        <v>Fully Open</v>
      </c>
      <c r="G124" s="46">
        <f t="shared" si="1"/>
        <v>6.916666666666667</v>
      </c>
    </row>
    <row r="125" spans="1:7">
      <c r="A125" s="44">
        <v>84</v>
      </c>
      <c r="B125" s="49">
        <v>46.691719344712837</v>
      </c>
      <c r="C125">
        <v>14.862435870341042</v>
      </c>
      <c r="D125" s="49" t="str">
        <v>Open</v>
      </c>
      <c r="E125" s="48">
        <v>7011.1506493729703</v>
      </c>
      <c r="F125" s="9" t="str">
        <v>Fully Open</v>
      </c>
      <c r="G125" s="46">
        <f t="shared" si="1"/>
        <v>7</v>
      </c>
    </row>
    <row r="126" spans="1:7">
      <c r="A126" s="44">
        <v>85</v>
      </c>
      <c r="B126" s="49">
        <v>46.96882396943915</v>
      </c>
      <c r="C126">
        <v>14.950641011898675</v>
      </c>
      <c r="D126" s="49" t="str">
        <v>Open</v>
      </c>
      <c r="E126" s="48">
        <v>7186.4934073453296</v>
      </c>
      <c r="F126" s="9" t="str">
        <v>Fully Open</v>
      </c>
      <c r="G126" s="46">
        <f t="shared" si="1"/>
        <v>7.083333333333333</v>
      </c>
    </row>
    <row r="127" spans="1:7">
      <c r="A127" s="44">
        <v>86</v>
      </c>
      <c r="B127" s="49">
        <v>47.244303305042962</v>
      </c>
      <c r="C127">
        <v>15.038328807860712</v>
      </c>
      <c r="D127" s="49" t="str">
        <v>Open</v>
      </c>
      <c r="E127" s="48">
        <v>7361.8361653176853</v>
      </c>
      <c r="F127" s="9" t="str">
        <v>Fully Open</v>
      </c>
      <c r="G127" s="46">
        <f t="shared" si="1"/>
        <v>7.166666666666667</v>
      </c>
    </row>
    <row r="128" spans="1:7">
      <c r="A128" s="44">
        <v>87</v>
      </c>
      <c r="B128" s="49">
        <v>47.518185618620002</v>
      </c>
      <c r="C128">
        <v>15.125508255923172</v>
      </c>
      <c r="D128" s="49" t="str">
        <v>Open</v>
      </c>
      <c r="E128" s="48">
        <v>7537.1789232900428</v>
      </c>
      <c r="F128" s="9" t="str">
        <v>Fully Open</v>
      </c>
      <c r="G128" s="46">
        <f t="shared" si="1"/>
        <v>7.25</v>
      </c>
    </row>
    <row r="129" spans="1:7">
      <c r="A129" s="44">
        <v>88</v>
      </c>
      <c r="B129" s="49">
        <v>47.790498367273344</v>
      </c>
      <c r="C129">
        <v>15.212188095953412</v>
      </c>
      <c r="D129" s="49" t="str">
        <v>Open</v>
      </c>
      <c r="E129" s="48">
        <v>7712.5216812624021</v>
      </c>
      <c r="F129" s="9" t="str">
        <v>Fully Open</v>
      </c>
      <c r="G129" s="46">
        <f t="shared" si="1"/>
        <v>7.333333333333333</v>
      </c>
    </row>
    <row r="130" spans="1:7">
      <c r="A130" s="44">
        <v>89</v>
      </c>
      <c r="B130" s="49">
        <v>48.06126823024011</v>
      </c>
      <c r="C130">
        <v>15.298376820216365</v>
      </c>
      <c r="D130" s="49" t="str">
        <v>Open</v>
      </c>
      <c r="E130" s="48">
        <v>7887.8644392347614</v>
      </c>
      <c r="F130" s="9" t="str">
        <v>Fully Open</v>
      </c>
      <c r="G130" s="46">
        <f t="shared" si="1"/>
        <v>7.416666666666667</v>
      </c>
    </row>
    <row r="131" spans="1:7">
      <c r="A131" s="44">
        <v>90</v>
      </c>
      <c r="B131" s="49">
        <v>48.330521139398222</v>
      </c>
      <c r="C131">
        <v>15.384082683085138</v>
      </c>
      <c r="D131" s="49" t="str">
        <v>Open</v>
      </c>
      <c r="E131" s="48">
        <v>8063.2071972071208</v>
      </c>
      <c r="F131" s="9" t="str">
        <v>Fully Open</v>
      </c>
      <c r="G131" s="46">
        <f t="shared" si="1"/>
        <v>7.5</v>
      </c>
    </row>
    <row r="132" spans="1:7">
      <c r="A132" s="44">
        <v>91</v>
      </c>
      <c r="B132" s="49">
        <v>48.598282308251896</v>
      </c>
      <c r="C132">
        <v>15.469313710267389</v>
      </c>
      <c r="D132" s="49" t="str">
        <v>Open</v>
      </c>
      <c r="E132" s="48">
        <v>8238.5499551794765</v>
      </c>
      <c r="F132" s="9" t="str">
        <v>Fully Open</v>
      </c>
      <c r="G132" s="46">
        <f t="shared" si="1"/>
        <v>7.583333333333333</v>
      </c>
    </row>
    <row r="133" spans="1:7">
      <c r="A133" s="44">
        <v>92</v>
      </c>
      <c r="B133" s="49">
        <v>48.86457625948762</v>
      </c>
      <c r="C133">
        <v>15.554077707576665</v>
      </c>
      <c r="D133" s="49" t="str">
        <v>Open</v>
      </c>
      <c r="E133" s="48">
        <v>8413.8927131518376</v>
      </c>
      <c r="F133" s="9" t="str">
        <v>Fully Open</v>
      </c>
      <c r="G133" s="46">
        <f t="shared" si="1"/>
        <v>7.666666666666667</v>
      </c>
    </row>
    <row r="134" spans="1:7">
      <c r="A134" s="44">
        <v>93</v>
      </c>
      <c r="B134" s="49">
        <v>49.129426851185762</v>
      </c>
      <c r="C134">
        <v>15.638382269275811</v>
      </c>
      <c r="D134" s="49" t="str">
        <v>Open</v>
      </c>
      <c r="E134" s="48">
        <v>8589.2354711241969</v>
      </c>
      <c r="F134" s="9" t="str">
        <v>Fully Open</v>
      </c>
      <c r="G134" s="46">
        <f t="shared" si="1"/>
        <v>7.75</v>
      </c>
    </row>
    <row r="135" spans="1:7">
      <c r="A135" s="44">
        <v>94</v>
      </c>
      <c r="B135" s="49">
        <v>49.392857301767265</v>
      </c>
      <c r="C135">
        <v>15.722234786017752</v>
      </c>
      <c r="D135" s="49" t="str">
        <v>Open</v>
      </c>
      <c r="E135" s="48">
        <v>8764.5782290965544</v>
      </c>
      <c r="F135" s="9" t="str">
        <v>Fully Open</v>
      </c>
      <c r="G135" s="46">
        <f t="shared" si="1"/>
        <v>7.833333333333333</v>
      </c>
    </row>
    <row r="136" spans="1:7">
      <c r="A136" s="44">
        <v>95</v>
      </c>
      <c r="B136" s="49">
        <v>49.654890213749091</v>
      </c>
      <c r="C136">
        <v>15.805642452407096</v>
      </c>
      <c r="D136" s="49" t="str">
        <v>Open</v>
      </c>
      <c r="E136" s="48">
        <v>8939.9209870689119</v>
      </c>
      <c r="F136" s="9" t="str">
        <v>Fully Open</v>
      </c>
      <c r="G136" s="46">
        <f t="shared" si="1"/>
        <v>7.916666666666667</v>
      </c>
    </row>
    <row r="137" spans="1:7">
      <c r="A137" s="44">
        <v>96</v>
      </c>
      <c r="B137" s="49">
        <v>49.915547596377287</v>
      </c>
      <c r="C137">
        <v>15.888612274204441</v>
      </c>
      <c r="D137" s="49" t="str">
        <v>Open</v>
      </c>
      <c r="E137" s="48">
        <v>9115.2637450412658</v>
      </c>
      <c r="F137" s="9" t="str">
        <v>Fully Open</v>
      </c>
      <c r="G137" s="46">
        <f t="shared" si="1"/>
        <v>8</v>
      </c>
    </row>
    <row r="138" spans="1:7">
      <c r="A138" s="44">
        <v>97</v>
      </c>
      <c r="B138" s="49">
        <v>50.174850887201828</v>
      </c>
      <c r="C138">
        <v>15.971151075193882</v>
      </c>
      <c r="D138" s="49" t="str">
        <v>Open</v>
      </c>
      <c r="E138" s="48">
        <v>9290.6065030136306</v>
      </c>
      <c r="F138" s="9" t="str">
        <v>Fully Open</v>
      </c>
      <c r="G138" s="46">
        <f t="shared" si="1"/>
        <v>8.0833333333333339</v>
      </c>
    </row>
    <row r="139" spans="1:7">
      <c r="A139" s="44">
        <v>98</v>
      </c>
      <c r="B139" s="49">
        <v>50.432820972653005</v>
      </c>
      <c r="C139">
        <v>16.053265503732671</v>
      </c>
      <c r="D139" s="49" t="str">
        <v>Open</v>
      </c>
      <c r="E139" s="48">
        <v>9465.9492609859844</v>
      </c>
      <c r="F139" s="9" t="str">
        <v>Fully Open</v>
      </c>
      <c r="G139" s="46">
        <f t="shared" si="1"/>
        <v>8.1666666666666661</v>
      </c>
    </row>
    <row r="140" spans="1:7">
      <c r="A140" s="44">
        <v>99</v>
      </c>
      <c r="B140" s="49">
        <v>50.689478207675414</v>
      </c>
      <c r="C140">
        <v>16.1349620390009</v>
      </c>
      <c r="D140" s="49" t="str">
        <v>Open</v>
      </c>
      <c r="E140" s="48">
        <v>9641.2920189583456</v>
      </c>
      <c r="F140" s="9" t="str">
        <v>Fully Open</v>
      </c>
      <c r="G140" s="46">
        <f t="shared" si="1"/>
        <v>8.25</v>
      </c>
    </row>
    <row r="141" spans="1:7">
      <c r="A141" s="44">
        <v>100</v>
      </c>
      <c r="B141" s="49">
        <v>50.944842434471532</v>
      </c>
      <c r="C141">
        <v>16.216246996967783</v>
      </c>
      <c r="D141" s="49" t="str">
        <v>Open</v>
      </c>
      <c r="E141" s="48">
        <v>9816.6347769307067</v>
      </c>
      <c r="F141" s="9" t="str">
        <v>Fully Open</v>
      </c>
      <c r="G141" s="46">
        <f t="shared" si="1"/>
        <v>8.3333333333333339</v>
      </c>
    </row>
    <row r="142" spans="1:7">
      <c r="A142" s="44">
        <v>101</v>
      </c>
      <c r="B142" s="49">
        <v>51.198933000404047</v>
      </c>
      <c r="C142">
        <v>16.297126536090136</v>
      </c>
      <c r="D142" s="49" t="str">
        <v>Open</v>
      </c>
      <c r="E142" s="48">
        <v>9991.9775349030606</v>
      </c>
      <c r="F142" s="9" t="str">
        <v>Fully Open</v>
      </c>
      <c r="G142" s="46">
        <f t="shared" si="1"/>
        <v>8.4166666666666661</v>
      </c>
    </row>
    <row r="143" spans="1:7">
      <c r="A143" s="44">
        <v>102</v>
      </c>
      <c r="B143" s="49">
        <v>51.451768775102323</v>
      </c>
      <c r="C143">
        <v>16.377606662757536</v>
      </c>
      <c r="D143" s="49" t="str">
        <v>Open</v>
      </c>
      <c r="E143" s="48">
        <v>10167.320292875422</v>
      </c>
      <c r="F143" s="9" t="str">
        <v>Fully Open</v>
      </c>
      <c r="G143" s="46">
        <f t="shared" si="1"/>
        <v>8.5</v>
      </c>
    </row>
    <row r="144" spans="1:7">
      <c r="A144" s="44">
        <v>103</v>
      </c>
      <c r="B144" s="49">
        <v>51.703368166816041</v>
      </c>
      <c r="C144">
        <v>16.457693236497839</v>
      </c>
      <c r="D144" s="49" t="str">
        <v>Open</v>
      </c>
      <c r="E144" s="48">
        <v>10342.663050847779</v>
      </c>
      <c r="F144" s="9" t="str">
        <v>Fully Open</v>
      </c>
      <c r="G144" s="46">
        <f t="shared" si="1"/>
        <v>8.5833333333333339</v>
      </c>
    </row>
    <row r="145" spans="1:7">
      <c r="A145" s="44">
        <v>104</v>
      </c>
      <c r="B145" s="49">
        <v>51.953749138056018</v>
      </c>
      <c r="C145">
        <v>16.537391974955824</v>
      </c>
      <c r="D145" s="49" t="str">
        <v>Open</v>
      </c>
      <c r="E145" s="48">
        <v>10518.005808820137</v>
      </c>
      <c r="F145" s="9" t="str">
        <v>Fully Open</v>
      </c>
      <c r="G145" s="46">
        <f t="shared" si="1"/>
        <v>8.6666666666666661</v>
      </c>
    </row>
    <row r="146" spans="1:7">
      <c r="A146" s="44">
        <v>105</v>
      </c>
      <c r="B146" s="49">
        <v>52.202929220559916</v>
      </c>
      <c r="C146">
        <v>16.616708458656909</v>
      </c>
      <c r="D146" s="49" t="str">
        <v>Open</v>
      </c>
      <c r="E146" s="48">
        <v>10693.348566792494</v>
      </c>
      <c r="F146" s="9" t="str">
        <v>Fully Open</v>
      </c>
      <c r="G146" s="46">
        <f t="shared" si="1"/>
        <v>8.75</v>
      </c>
    </row>
    <row r="147" spans="1:7">
      <c r="A147" s="44">
        <v>106</v>
      </c>
      <c r="B147" s="49">
        <v>52.450925529617869</v>
      </c>
      <c r="C147">
        <v>16.695648135567144</v>
      </c>
      <c r="D147" s="49" t="str">
        <v>Open</v>
      </c>
      <c r="E147" s="48">
        <v>10868.691324764852</v>
      </c>
      <c r="F147" s="9" t="str">
        <v>Fully Open</v>
      </c>
      <c r="G147" s="46">
        <f t="shared" si="1"/>
        <v>8.8333333333333339</v>
      </c>
    </row>
    <row r="148" spans="1:7">
      <c r="A148" s="44">
        <v>107</v>
      </c>
      <c r="B148" s="49">
        <v>52.697754777791538</v>
      </c>
      <c r="C148">
        <v>16.774216325460134</v>
      </c>
      <c r="D148" s="49" t="str">
        <v>Open</v>
      </c>
      <c r="E148" s="48">
        <v>11044.034082737209</v>
      </c>
      <c r="F148" s="9" t="str">
        <v>Fully Open</v>
      </c>
      <c r="G148" s="46">
        <f t="shared" si="1"/>
        <v>8.9166666666666661</v>
      </c>
    </row>
    <row r="149" spans="1:7">
      <c r="A149" s="44">
        <v>108</v>
      </c>
      <c r="B149" s="49">
        <v>52.943433288057378</v>
      </c>
      <c r="C149">
        <v>16.85241822410066</v>
      </c>
      <c r="D149" s="49" t="str">
        <v>Open</v>
      </c>
      <c r="E149" s="48">
        <v>11219.376840709567</v>
      </c>
      <c r="F149" s="9" t="str">
        <v>Fully Open</v>
      </c>
      <c r="G149" s="46">
        <f t="shared" si="1"/>
        <v>9</v>
      </c>
    </row>
    <row r="150" spans="1:7">
      <c r="A150" s="44">
        <v>109</v>
      </c>
      <c r="B150" s="49">
        <v>53.187977006403564</v>
      </c>
      <c r="C150">
        <v>16.930258907254395</v>
      </c>
      <c r="D150" s="49" t="str">
        <v>Open</v>
      </c>
      <c r="E150" s="48">
        <v>11394.719598681932</v>
      </c>
      <c r="F150" s="9" t="str">
        <v>Fully Open</v>
      </c>
      <c r="G150" s="46">
        <f t="shared" si="1"/>
        <v>9.0833333333333339</v>
      </c>
    </row>
    <row r="151" spans="1:7">
      <c r="A151" s="44">
        <v>110</v>
      </c>
      <c r="B151" s="49">
        <v>53.43140151390795</v>
      </c>
      <c r="C151">
        <v>17.00774333453246</v>
      </c>
      <c r="D151" s="49" t="str">
        <v>Open</v>
      </c>
      <c r="E151" s="48">
        <v>11570.062356654285</v>
      </c>
      <c r="F151" s="9" t="str">
        <v>Fully Open</v>
      </c>
      <c r="G151" s="46">
        <f t="shared" si="1"/>
        <v>9.1666666666666661</v>
      </c>
    </row>
    <row r="152" spans="1:7">
      <c r="A152" s="44">
        <v>111</v>
      </c>
      <c r="B152" s="49">
        <v>53.673722038323149</v>
      </c>
      <c r="C152">
        <v>17.084876353079061</v>
      </c>
      <c r="D152" s="49" t="str">
        <v>Open</v>
      </c>
      <c r="E152" s="48">
        <v>11745.405114626643</v>
      </c>
      <c r="F152" s="9" t="str">
        <v>Fully Open</v>
      </c>
      <c r="G152" s="46">
        <f t="shared" si="1"/>
        <v>9.25</v>
      </c>
    </row>
    <row r="153" spans="1:7">
      <c r="A153" s="44">
        <v>112</v>
      </c>
      <c r="B153" s="49">
        <v>53.914953465192824</v>
      </c>
      <c r="C153">
        <v>17.161662701109901</v>
      </c>
      <c r="D153" s="49" t="str">
        <v>Open</v>
      </c>
      <c r="E153" s="48">
        <v>11920.747872599004</v>
      </c>
      <c r="F153" s="9" t="str">
        <v>Fully Open</v>
      </c>
      <c r="G153" s="46">
        <f t="shared" si="1"/>
        <v>9.3333333333333339</v>
      </c>
    </row>
    <row r="154" spans="1:7">
      <c r="A154" s="44">
        <v>113</v>
      </c>
      <c r="B154" s="49">
        <v>54.155110348522406</v>
      </c>
      <c r="C154">
        <v>17.238107011308792</v>
      </c>
      <c r="D154" s="49" t="str">
        <v>Open</v>
      </c>
      <c r="E154" s="48">
        <v>12096.090630571358</v>
      </c>
      <c r="F154" s="9" t="str">
        <v>Fully Open</v>
      </c>
      <c r="G154" s="46">
        <f t="shared" si="1"/>
        <v>9.4166666666666661</v>
      </c>
    </row>
    <row r="155" spans="1:7">
      <c r="A155" s="44">
        <v>114</v>
      </c>
      <c r="B155" s="49">
        <v>54.394206921025791</v>
      </c>
      <c r="C155">
        <v>17.314213814089278</v>
      </c>
      <c r="D155" s="49" t="str">
        <v>Open</v>
      </c>
      <c r="E155" s="48">
        <v>12271.433388543719</v>
      </c>
      <c r="F155" s="9" t="str">
        <v>Fully Open</v>
      </c>
      <c r="G155" s="46">
        <f t="shared" si="1"/>
        <v>9.5</v>
      </c>
    </row>
    <row r="156" spans="1:7">
      <c r="A156" s="44">
        <v>115</v>
      </c>
      <c r="B156" s="49">
        <v>54.632257103968364</v>
      </c>
      <c r="C156">
        <v>17.389987540727759</v>
      </c>
      <c r="D156" s="49" t="str">
        <v>Open</v>
      </c>
      <c r="E156" s="48">
        <v>12446.77614651608</v>
      </c>
      <c r="F156" s="9" t="str">
        <v>Fully Open</v>
      </c>
      <c r="G156" s="46">
        <f t="shared" si="1"/>
        <v>9.5833333333333339</v>
      </c>
    </row>
    <row r="157" spans="1:7">
      <c r="A157" s="44">
        <v>116</v>
      </c>
      <c r="B157" s="49">
        <v>54.869274516625715</v>
      </c>
      <c r="C157">
        <v>17.465432526374297</v>
      </c>
      <c r="D157" s="49" t="str">
        <v>Open</v>
      </c>
      <c r="E157" s="48">
        <v>12622.118904488434</v>
      </c>
      <c r="F157" s="9" t="str">
        <v>Fully Open</v>
      </c>
      <c r="G157" s="46">
        <f t="shared" si="1"/>
        <v>9.6666666666666661</v>
      </c>
    </row>
    <row r="158" spans="1:7">
      <c r="A158" s="44">
        <v>117</v>
      </c>
      <c r="B158" s="49">
        <v>55.105272485376247</v>
      </c>
      <c r="C158">
        <v>17.540553012946887</v>
      </c>
      <c r="D158" s="49" t="str">
        <v>Open</v>
      </c>
      <c r="E158" s="48">
        <v>12797.461662460795</v>
      </c>
      <c r="F158" s="9" t="str">
        <v>Fully Open</v>
      </c>
      <c r="G158" s="46">
        <f t="shared" si="1"/>
        <v>9.75</v>
      </c>
    </row>
    <row r="159" spans="1:7">
      <c r="A159" s="44">
        <v>118</v>
      </c>
      <c r="B159" s="49">
        <v>55.340264052444631</v>
      </c>
      <c r="C159">
        <v>17.615353151914572</v>
      </c>
      <c r="D159" s="49" t="str">
        <v>Open</v>
      </c>
      <c r="E159" s="48">
        <v>12972.804420433153</v>
      </c>
      <c r="F159" s="9" t="str">
        <v>Fully Open</v>
      </c>
      <c r="G159" s="46">
        <f t="shared" si="1"/>
        <v>9.8333333333333339</v>
      </c>
    </row>
    <row r="160" spans="1:7">
      <c r="A160" s="44">
        <v>119</v>
      </c>
      <c r="B160" s="49">
        <v>55.57426198431272</v>
      </c>
      <c r="C160">
        <v>17.689837006974749</v>
      </c>
      <c r="D160" s="49" t="str">
        <v>Open</v>
      </c>
      <c r="E160" s="48">
        <v>13148.14717840551</v>
      </c>
      <c r="F160" s="9" t="str">
        <v>Fully Open</v>
      </c>
      <c r="G160" s="46">
        <f t="shared" si="1"/>
        <v>9.9166666666666661</v>
      </c>
    </row>
    <row r="161" spans="1:7">
      <c r="A161" s="44">
        <v>120</v>
      </c>
      <c r="B161" s="49">
        <v>55.807278779812926</v>
      </c>
      <c r="C161">
        <v>17.764008556629328</v>
      </c>
      <c r="D161" s="49" t="str">
        <v>Open</v>
      </c>
      <c r="E161" s="48">
        <v>13323.489936377871</v>
      </c>
      <c r="F161" s="9" t="str">
        <v>Fully Open</v>
      </c>
      <c r="G161" s="46">
        <f t="shared" si="1"/>
        <v>10</v>
      </c>
    </row>
    <row r="162" spans="1:7">
      <c r="A162" s="44">
        <v>121</v>
      </c>
      <c r="B162" s="49">
        <v>56.039326677918694</v>
      </c>
      <c r="C162">
        <v>17.837871696664564</v>
      </c>
      <c r="D162" s="49" t="str">
        <v>Open</v>
      </c>
      <c r="E162" s="48">
        <v>13498.832694350229</v>
      </c>
      <c r="F162" s="9" t="str">
        <v>Fully Open</v>
      </c>
      <c r="G162" s="46">
        <f t="shared" si="1"/>
        <v>10.083333333333334</v>
      </c>
    </row>
    <row r="163" spans="1:7">
      <c r="A163" s="44">
        <v>122</v>
      </c>
      <c r="B163" s="49">
        <v>56.27041766524593</v>
      </c>
      <c r="C163">
        <v>17.911430242538795</v>
      </c>
      <c r="D163" s="49" t="str">
        <v>Open</v>
      </c>
      <c r="E163" s="48">
        <v>13674.175452322586</v>
      </c>
      <c r="F163" s="9" t="str">
        <v>Fully Open</v>
      </c>
      <c r="G163" s="46">
        <f t="shared" si="1"/>
        <v>10.166666666666666</v>
      </c>
    </row>
    <row r="164" spans="1:7">
      <c r="A164" s="44">
        <v>123</v>
      </c>
      <c r="B164" s="49">
        <v>56.500563483278221</v>
      </c>
      <c r="C164">
        <v>17.98468793168233</v>
      </c>
      <c r="D164" s="49" t="str">
        <v>Open</v>
      </c>
      <c r="E164" s="48">
        <v>13849.518210294944</v>
      </c>
      <c r="F164" s="9" t="str">
        <v>Fully Open</v>
      </c>
      <c r="G164" s="46">
        <f t="shared" si="1"/>
        <v>10.25</v>
      </c>
    </row>
    <row r="165" spans="1:7">
      <c r="A165" s="44">
        <v>124</v>
      </c>
      <c r="B165" s="49">
        <v>56.729775635328259</v>
      </c>
      <c r="C165">
        <v>18.057648425713321</v>
      </c>
      <c r="D165" s="49" t="str">
        <v>Open</v>
      </c>
      <c r="E165" s="48">
        <v>14024.860968267305</v>
      </c>
      <c r="F165" s="9" t="str">
        <v>Fully Open</v>
      </c>
      <c r="G165" s="46">
        <f t="shared" si="1"/>
        <v>10.333333333333334</v>
      </c>
    </row>
    <row r="166" spans="1:7">
      <c r="A166" s="44">
        <v>125</v>
      </c>
      <c r="B166" s="49">
        <v>56.958065393247118</v>
      </c>
      <c r="C166">
        <v>18.130315312573398</v>
      </c>
      <c r="D166" s="49" t="str">
        <v>Open</v>
      </c>
      <c r="E166" s="48">
        <v>14200.203726239659</v>
      </c>
      <c r="F166" s="9" t="str">
        <v>Fully Open</v>
      </c>
      <c r="G166" s="46">
        <f t="shared" si="1"/>
        <v>10.416666666666666</v>
      </c>
    </row>
    <row r="167" spans="1:7">
      <c r="A167" s="44">
        <v>126</v>
      </c>
      <c r="B167" s="49">
        <v>57.18544380389249</v>
      </c>
      <c r="C167">
        <v>18.202692108586575</v>
      </c>
      <c r="D167" s="49" t="str">
        <v>Open</v>
      </c>
      <c r="E167" s="48">
        <v>14375.54648421202</v>
      </c>
      <c r="F167" s="9" t="str">
        <v>Fully Open</v>
      </c>
      <c r="G167" s="46">
        <f t="shared" si="1"/>
        <v>10.5</v>
      </c>
    </row>
    <row r="168" spans="1:7">
      <c r="A168" s="44">
        <v>127</v>
      </c>
      <c r="B168" s="49">
        <v>57.411921695366352</v>
      </c>
      <c r="C168">
        <v>18.274782260444766</v>
      </c>
      <c r="D168" s="49" t="str">
        <v>Open</v>
      </c>
      <c r="E168" s="48">
        <v>14550.889242184381</v>
      </c>
      <c r="F168" s="9" t="str">
        <v>Fully Open</v>
      </c>
      <c r="G168" s="46">
        <f t="shared" si="1"/>
        <v>10.583333333333334</v>
      </c>
    </row>
    <row r="169" spans="1:7">
      <c r="A169" s="44">
        <v>128</v>
      </c>
      <c r="B169" s="49">
        <v>57.637509683032008</v>
      </c>
      <c r="C169">
        <v>18.346589147123051</v>
      </c>
      <c r="D169" s="49" t="str">
        <v>Open</v>
      </c>
      <c r="E169" s="48">
        <v>14726.232000156735</v>
      </c>
      <c r="F169" s="9" t="str">
        <v>Fully Open</v>
      </c>
      <c r="G169" s="46">
        <f t="shared" si="1"/>
        <v>10.666666666666666</v>
      </c>
    </row>
    <row r="170" spans="1:7">
      <c r="A170" s="44">
        <v>129</v>
      </c>
      <c r="B170" s="49">
        <v>57.862218175320073</v>
      </c>
      <c r="C170">
        <v>18.418116081727796</v>
      </c>
      <c r="D170" s="49" t="str">
        <v>Open</v>
      </c>
      <c r="E170" s="48">
        <v>14901.574758129096</v>
      </c>
      <c r="F170" s="9" t="str">
        <v>Fully Open</v>
      </c>
      <c r="G170" s="46">
        <f t="shared" si="1"/>
        <v>10.75</v>
      </c>
    </row>
    <row r="171" spans="1:7">
      <c r="A171" s="44">
        <v>130</v>
      </c>
      <c r="B171" s="49">
        <v>58.086057379332182</v>
      </c>
      <c r="C171">
        <v>18.48936631328036</v>
      </c>
      <c r="D171" s="49" t="str">
        <v>Open</v>
      </c>
      <c r="E171" s="48">
        <v>15076.917516101454</v>
      </c>
      <c r="F171" s="9" t="str">
        <v>Fully Open</v>
      </c>
      <c r="G171" s="46">
        <f t="shared" ref="G171:G234" si="2">A171/12</f>
        <v>10.833333333333334</v>
      </c>
    </row>
    <row r="172" spans="1:7">
      <c r="A172" s="44">
        <v>131</v>
      </c>
      <c r="B172" s="49">
        <v>58.30903730625127</v>
      </c>
      <c r="C172">
        <v>18.560343028439245</v>
      </c>
      <c r="D172" s="49" t="str">
        <v>Open</v>
      </c>
      <c r="E172" s="48">
        <v>15252.260274073811</v>
      </c>
      <c r="F172" s="9" t="str">
        <v>Fully Open</v>
      </c>
      <c r="G172" s="46">
        <f t="shared" si="2"/>
        <v>10.916666666666666</v>
      </c>
    </row>
    <row r="173" spans="1:7">
      <c r="A173" s="44">
        <v>132</v>
      </c>
      <c r="B173" s="49">
        <v>58.531167776566136</v>
      </c>
      <c r="C173">
        <v>18.631049353163124</v>
      </c>
      <c r="D173" s="49" t="str">
        <v>Open</v>
      </c>
      <c r="E173" s="48">
        <v>15427.603032046169</v>
      </c>
      <c r="F173" s="9" t="str">
        <v>Fully Open</v>
      </c>
      <c r="G173" s="46">
        <f t="shared" si="2"/>
        <v>11</v>
      </c>
    </row>
    <row r="174" spans="1:7">
      <c r="A174" s="44">
        <v>133</v>
      </c>
      <c r="B174" s="49">
        <v>58.752458425118391</v>
      </c>
      <c r="C174">
        <v>18.70148835431733</v>
      </c>
      <c r="D174" s="49" t="str">
        <v>Open</v>
      </c>
      <c r="E174" s="48">
        <v>15602.945790018526</v>
      </c>
      <c r="F174" s="9" t="str">
        <v>Fully Open</v>
      </c>
      <c r="G174" s="46">
        <f t="shared" si="2"/>
        <v>11.083333333333334</v>
      </c>
    </row>
    <row r="175" spans="1:7">
      <c r="A175" s="44">
        <v>134</v>
      </c>
      <c r="B175" s="49">
        <v>58.972918705978906</v>
      </c>
      <c r="C175">
        <v>18.771663041226088</v>
      </c>
      <c r="D175" s="49" t="str">
        <v>Open</v>
      </c>
      <c r="E175" s="48">
        <v>15778.288547990884</v>
      </c>
      <c r="F175" s="9" t="str">
        <v>Fully Open</v>
      </c>
      <c r="G175" s="46">
        <f t="shared" si="2"/>
        <v>11.166666666666666</v>
      </c>
    </row>
    <row r="176" spans="1:7">
      <c r="A176" s="44">
        <v>135</v>
      </c>
      <c r="B176" s="49">
        <v>59.192557897160761</v>
      </c>
      <c r="C176">
        <v>18.841576367172681</v>
      </c>
      <c r="D176" s="49" t="str">
        <v>Open</v>
      </c>
      <c r="E176" s="48">
        <v>15953.631305963245</v>
      </c>
      <c r="F176" s="9" t="str">
        <v>Fully Open</v>
      </c>
      <c r="G176" s="46">
        <f t="shared" si="2"/>
        <v>11.25</v>
      </c>
    </row>
    <row r="177" spans="1:7">
      <c r="A177" s="44">
        <v>136</v>
      </c>
      <c r="B177" s="49">
        <v>59.41138510517542</v>
      </c>
      <c r="C177">
        <v>18.911231230849744</v>
      </c>
      <c r="D177" s="49" t="str">
        <v>Open</v>
      </c>
      <c r="E177" s="48">
        <v>16128.974063935606</v>
      </c>
      <c r="F177" s="9" t="str">
        <v>Fully Open</v>
      </c>
      <c r="G177" s="46">
        <f t="shared" si="2"/>
        <v>11.333333333333334</v>
      </c>
    </row>
    <row r="178" spans="1:7">
      <c r="A178" s="44">
        <v>137</v>
      </c>
      <c r="B178" s="49">
        <v>59.629409269438433</v>
      </c>
      <c r="C178">
        <v>18.980630477761622</v>
      </c>
      <c r="D178" s="49" t="str">
        <v>Open</v>
      </c>
      <c r="E178" s="48">
        <v>16304.31682190796</v>
      </c>
      <c r="F178" s="9" t="str">
        <v>Fully Open</v>
      </c>
      <c r="G178" s="46">
        <f t="shared" si="2"/>
        <v>11.416666666666666</v>
      </c>
    </row>
    <row r="179" spans="1:7">
      <c r="A179" s="44">
        <v>138</v>
      </c>
      <c r="B179" s="49">
        <v>59.846639166530657</v>
      </c>
      <c r="C179">
        <v>19.049776901580763</v>
      </c>
      <c r="D179" s="49" t="str">
        <v>Open</v>
      </c>
      <c r="E179" s="48">
        <v>16479.659579880321</v>
      </c>
      <c r="F179" s="9" t="str">
        <v>Fully Open</v>
      </c>
      <c r="G179" s="46">
        <f t="shared" si="2"/>
        <v>11.5</v>
      </c>
    </row>
    <row r="180" spans="1:7">
      <c r="A180" s="44">
        <v>139</v>
      </c>
      <c r="B180" s="49">
        <v>60.063083414320765</v>
      </c>
      <c r="C180">
        <v>19.11867324545997</v>
      </c>
      <c r="D180" s="49" t="str">
        <v>Open</v>
      </c>
      <c r="E180" s="48">
        <v>16655.002337852678</v>
      </c>
      <c r="F180" s="9" t="str">
        <v>Fully Open</v>
      </c>
      <c r="G180" s="46">
        <f t="shared" si="2"/>
        <v>11.583333333333334</v>
      </c>
    </row>
    <row r="181" spans="1:7">
      <c r="A181" s="44">
        <v>140</v>
      </c>
      <c r="B181" s="49">
        <v>60.278750475954489</v>
      </c>
      <c r="C181">
        <v>19.187322203302191</v>
      </c>
      <c r="D181" s="49" t="str">
        <v>Open</v>
      </c>
      <c r="E181" s="48">
        <v>16830.345095825036</v>
      </c>
      <c r="F181" s="9" t="str">
        <v>Fully Open</v>
      </c>
      <c r="G181" s="46">
        <f t="shared" si="2"/>
        <v>11.666666666666666</v>
      </c>
    </row>
    <row r="182" spans="1:7">
      <c r="A182" s="44">
        <v>141</v>
      </c>
      <c r="B182" s="49">
        <v>60.493648663716051</v>
      </c>
      <c r="C182">
        <v>19.255726420989678</v>
      </c>
      <c r="D182" s="49" t="str">
        <v>Open</v>
      </c>
      <c r="E182" s="48">
        <v>17005.687853797393</v>
      </c>
      <c r="F182" s="9" t="str">
        <v>Fully Open</v>
      </c>
      <c r="G182" s="46">
        <f t="shared" si="2"/>
        <v>11.75</v>
      </c>
    </row>
    <row r="183" spans="1:7">
      <c r="A183" s="44">
        <v>142</v>
      </c>
      <c r="B183" s="49">
        <v>60.707786142766288</v>
      </c>
      <c r="C183">
        <v>19.323888497573844</v>
      </c>
      <c r="D183" s="49" t="str">
        <v>Open</v>
      </c>
      <c r="E183" s="48">
        <v>17181.030611769755</v>
      </c>
      <c r="F183" s="9" t="str">
        <v>Fully Open</v>
      </c>
      <c r="G183" s="46">
        <f t="shared" si="2"/>
        <v>11.833333333333334</v>
      </c>
    </row>
    <row r="184" spans="1:7">
      <c r="A184" s="44">
        <v>143</v>
      </c>
      <c r="B184" s="49">
        <v>60.921170934762728</v>
      </c>
      <c r="C184">
        <v>19.391810986427583</v>
      </c>
      <c r="D184" s="49" t="str">
        <v>Open</v>
      </c>
      <c r="E184" s="48">
        <v>17356.373369742108</v>
      </c>
      <c r="F184" s="9" t="str">
        <v>Fully Open</v>
      </c>
      <c r="G184" s="46">
        <f t="shared" si="2"/>
        <v>11.916666666666666</v>
      </c>
    </row>
    <row r="185" spans="1:7">
      <c r="A185" s="44">
        <v>144</v>
      </c>
      <c r="B185" s="49">
        <v>61.133810921365843</v>
      </c>
      <c r="C185">
        <v>19.459496396361342</v>
      </c>
      <c r="D185" s="49" t="str">
        <v>Open</v>
      </c>
      <c r="E185" s="48">
        <v>17531.71612771447</v>
      </c>
      <c r="F185" s="9" t="str">
        <v>Fully Open</v>
      </c>
      <c r="G185" s="46">
        <f t="shared" si="2"/>
        <v>12</v>
      </c>
    </row>
    <row r="186" spans="1:7">
      <c r="A186" s="44">
        <v>145</v>
      </c>
      <c r="B186" s="49">
        <v>61.345713847636013</v>
      </c>
      <c r="C186">
        <v>19.526947192704412</v>
      </c>
      <c r="D186" s="49" t="str">
        <v>Open</v>
      </c>
      <c r="E186" s="48">
        <v>17707.058885686827</v>
      </c>
      <c r="F186" s="9" t="str">
        <v>Fully Open</v>
      </c>
      <c r="G186" s="46">
        <f t="shared" si="2"/>
        <v>12.083333333333334</v>
      </c>
    </row>
    <row r="187" spans="1:7">
      <c r="A187" s="44">
        <v>146</v>
      </c>
      <c r="B187" s="49">
        <v>61.556887325325121</v>
      </c>
      <c r="C187">
        <v>19.594165798352666</v>
      </c>
      <c r="D187" s="49" t="str">
        <v>Open</v>
      </c>
      <c r="E187" s="48">
        <v>17882.401643659185</v>
      </c>
      <c r="F187" s="9" t="str">
        <v>Fully Open</v>
      </c>
      <c r="G187" s="46">
        <f t="shared" si="2"/>
        <v>12.166666666666666</v>
      </c>
    </row>
    <row r="188" spans="1:7">
      <c r="A188" s="44">
        <v>147</v>
      </c>
      <c r="B188" s="49">
        <v>61.767338836066948</v>
      </c>
      <c r="C188">
        <v>19.661154594784104</v>
      </c>
      <c r="D188" s="49" t="str">
        <v>Open</v>
      </c>
      <c r="E188" s="48">
        <v>18057.744401631542</v>
      </c>
      <c r="F188" s="9" t="str">
        <v>Fully Open</v>
      </c>
      <c r="G188" s="46">
        <f t="shared" si="2"/>
        <v>12.25</v>
      </c>
    </row>
    <row r="189" spans="1:7">
      <c r="A189" s="44">
        <v>148</v>
      </c>
      <c r="B189" s="49">
        <v>61.977075734470041</v>
      </c>
      <c r="C189">
        <v>19.727915923043334</v>
      </c>
      <c r="D189" s="49" t="str">
        <v>Open</v>
      </c>
      <c r="E189" s="48">
        <v>18233.087159603903</v>
      </c>
      <c r="F189" s="9" t="str">
        <v>Fully Open</v>
      </c>
      <c r="G189" s="46">
        <f t="shared" si="2"/>
        <v>12.333333333333334</v>
      </c>
    </row>
    <row r="190" spans="1:7">
      <c r="A190" s="44">
        <v>149</v>
      </c>
      <c r="B190" s="49">
        <v>62.186105251116722</v>
      </c>
      <c r="C190">
        <v>19.794452084696193</v>
      </c>
      <c r="D190" s="49" t="str">
        <v>Open</v>
      </c>
      <c r="E190" s="48">
        <v>18408.429917576257</v>
      </c>
      <c r="F190" s="9" t="str">
        <v>Fully Open</v>
      </c>
      <c r="G190" s="46">
        <f t="shared" si="2"/>
        <v>12.416666666666666</v>
      </c>
    </row>
    <row r="191" spans="1:7">
      <c r="A191" s="44">
        <v>150</v>
      </c>
      <c r="B191" s="49">
        <v>62.394434495471607</v>
      </c>
      <c r="C191">
        <v>19.860765342755549</v>
      </c>
      <c r="D191" s="49" t="str">
        <v>Open</v>
      </c>
      <c r="E191" s="48">
        <v>18583.772675548622</v>
      </c>
      <c r="F191" s="9" t="str">
        <v>Fully Open</v>
      </c>
      <c r="G191" s="46">
        <f t="shared" si="2"/>
        <v>12.5</v>
      </c>
    </row>
    <row r="192" spans="1:7">
      <c r="A192" s="44">
        <v>151</v>
      </c>
      <c r="B192" s="49">
        <v>62.60207045870311</v>
      </c>
      <c r="C192">
        <v>19.926857922579433</v>
      </c>
      <c r="D192" s="49" t="str">
        <v>Open</v>
      </c>
      <c r="E192" s="48">
        <v>18759.115433520983</v>
      </c>
      <c r="F192" s="9" t="str">
        <v>Fully Open</v>
      </c>
      <c r="G192" s="46">
        <f t="shared" si="2"/>
        <v>12.583333333333334</v>
      </c>
    </row>
    <row r="193" spans="1:7">
      <c r="A193" s="44">
        <v>152</v>
      </c>
      <c r="B193" s="49">
        <v>62.809020016420888</v>
      </c>
      <c r="C193">
        <v>19.992732012742362</v>
      </c>
      <c r="D193" s="49" t="str">
        <v>Open</v>
      </c>
      <c r="E193" s="48">
        <v>18934.458191493333</v>
      </c>
      <c r="F193" s="9" t="str">
        <v>Fully Open</v>
      </c>
      <c r="G193" s="46">
        <f t="shared" si="2"/>
        <v>12.666666666666666</v>
      </c>
    </row>
    <row r="194" spans="1:7">
      <c r="A194" s="44">
        <v>153</v>
      </c>
      <c r="B194" s="49">
        <v>63.015289931332468</v>
      </c>
      <c r="C194">
        <v>20.05838976588101</v>
      </c>
      <c r="D194" s="49" t="str">
        <v>Open</v>
      </c>
      <c r="E194" s="48">
        <v>19109.800949465694</v>
      </c>
      <c r="F194" s="9" t="str">
        <v>Fully Open</v>
      </c>
      <c r="G194" s="46">
        <f t="shared" si="2"/>
        <v>12.75</v>
      </c>
    </row>
    <row r="195" spans="1:7">
      <c r="A195" s="44">
        <v>154</v>
      </c>
      <c r="B195" s="49">
        <v>63.22088685582181</v>
      </c>
      <c r="C195">
        <v>20.123833299514949</v>
      </c>
      <c r="D195" s="49" t="str">
        <v>Open</v>
      </c>
      <c r="E195" s="48">
        <v>19285.143707438052</v>
      </c>
      <c r="F195" s="9" t="str">
        <v>Fully Open</v>
      </c>
      <c r="G195" s="46">
        <f t="shared" si="2"/>
        <v>12.833333333333334</v>
      </c>
    </row>
    <row r="196" spans="1:7">
      <c r="A196" s="44">
        <v>155</v>
      </c>
      <c r="B196" s="49">
        <v>63.425817334452645</v>
      </c>
      <c r="C196">
        <v>20.18906469684352</v>
      </c>
      <c r="D196" s="49" t="str">
        <v>Open</v>
      </c>
      <c r="E196" s="48">
        <v>19460.486465410413</v>
      </c>
      <c r="F196" s="9" t="str">
        <v>Fully Open</v>
      </c>
      <c r="G196" s="46">
        <f t="shared" si="2"/>
        <v>12.916666666666666</v>
      </c>
    </row>
    <row r="197" spans="1:7">
      <c r="A197" s="44">
        <v>156</v>
      </c>
      <c r="B197" s="49">
        <v>63.630087806399303</v>
      </c>
      <c r="C197">
        <v>20.254086007519568</v>
      </c>
      <c r="D197" s="49" t="str">
        <v>Open</v>
      </c>
      <c r="E197" s="48">
        <v>19635.829223382771</v>
      </c>
      <c r="F197" s="9" t="str">
        <v>Fully Open</v>
      </c>
      <c r="G197" s="46">
        <f t="shared" si="2"/>
        <v>13</v>
      </c>
    </row>
    <row r="198" spans="1:7">
      <c r="A198" s="44">
        <v>157</v>
      </c>
      <c r="B198" s="49">
        <v>63.833704607807441</v>
      </c>
      <c r="C198">
        <v>20.3188992484009</v>
      </c>
      <c r="D198" s="49" t="str">
        <v>Open</v>
      </c>
      <c r="E198" s="48">
        <v>19811.171981355128</v>
      </c>
      <c r="F198" s="9" t="str">
        <v>Fully Open</v>
      </c>
      <c r="G198" s="46">
        <f t="shared" si="2"/>
        <v>13.083333333333334</v>
      </c>
    </row>
    <row r="199" spans="1:7">
      <c r="A199" s="44">
        <v>158</v>
      </c>
      <c r="B199" s="49">
        <v>64.036673974087293</v>
      </c>
      <c r="C199">
        <v>20.383506404280237</v>
      </c>
      <c r="D199" s="49" t="str">
        <v>Open</v>
      </c>
      <c r="E199" s="48">
        <v>19986.514739327482</v>
      </c>
      <c r="F199" s="9" t="str">
        <v>Fully Open</v>
      </c>
      <c r="G199" s="46">
        <f t="shared" si="2"/>
        <v>13.166666666666666</v>
      </c>
    </row>
    <row r="200" spans="1:7">
      <c r="A200" s="44">
        <v>159</v>
      </c>
      <c r="B200" s="49">
        <v>64.239002042141649</v>
      </c>
      <c r="C200">
        <v>20.447909428594407</v>
      </c>
      <c r="D200" s="49" t="str">
        <v>Open</v>
      </c>
      <c r="E200" s="48">
        <v>20161.857497299847</v>
      </c>
      <c r="F200" s="9" t="str">
        <v>Fully Open</v>
      </c>
      <c r="G200" s="46">
        <f t="shared" si="2"/>
        <v>13.25</v>
      </c>
    </row>
    <row r="201" spans="1:7">
      <c r="A201" s="44">
        <v>160</v>
      </c>
      <c r="B201" s="49">
        <v>64.440694852530967</v>
      </c>
      <c r="C201">
        <v>20.512110244113519</v>
      </c>
      <c r="D201" s="49" t="str">
        <v>Open</v>
      </c>
      <c r="E201" s="48">
        <v>20337.200255272204</v>
      </c>
      <c r="F201" s="9" t="str">
        <v>Fully Open</v>
      </c>
      <c r="G201" s="46">
        <f t="shared" si="2"/>
        <v>13.333333333333334</v>
      </c>
    </row>
    <row r="202" spans="1:7">
      <c r="A202" s="44">
        <v>161</v>
      </c>
      <c r="B202" s="49">
        <v>64.641758351577522</v>
      </c>
      <c r="C202">
        <v>20.576110743610741</v>
      </c>
      <c r="D202" s="49" t="str">
        <v>Open</v>
      </c>
      <c r="E202" s="48">
        <v>20512.543013244565</v>
      </c>
      <c r="F202" s="9" t="str">
        <v>Fully Open</v>
      </c>
      <c r="G202" s="46">
        <f t="shared" si="2"/>
        <v>13.416666666666666</v>
      </c>
    </row>
    <row r="203" spans="1:7">
      <c r="A203" s="44">
        <v>162</v>
      </c>
      <c r="B203" s="49">
        <v>64.84219839341101</v>
      </c>
      <c r="C203">
        <v>20.639912790513435</v>
      </c>
      <c r="D203" s="49" t="str">
        <v>Open</v>
      </c>
      <c r="E203" s="48">
        <v>20687.885771216919</v>
      </c>
      <c r="F203" s="9" t="str">
        <v>Fully Open</v>
      </c>
      <c r="G203" s="46">
        <f t="shared" si="2"/>
        <v>13.5</v>
      </c>
    </row>
    <row r="204" spans="1:7">
      <c r="A204" s="44">
        <v>163</v>
      </c>
      <c r="B204" s="49">
        <v>65.042020741957316</v>
      </c>
      <c r="C204">
        <v>20.703518219536186</v>
      </c>
      <c r="D204" s="49" t="str">
        <v>Open</v>
      </c>
      <c r="E204" s="48">
        <v>20863.228529189277</v>
      </c>
      <c r="F204" s="9" t="str">
        <v>Fully Open</v>
      </c>
      <c r="G204" s="46">
        <f t="shared" si="2"/>
        <v>13.583333333333334</v>
      </c>
    </row>
    <row r="205" spans="1:7">
      <c r="A205" s="44">
        <v>164</v>
      </c>
      <c r="B205" s="49">
        <v>65.241231072872438</v>
      </c>
      <c r="C205">
        <v>20.766928837296415</v>
      </c>
      <c r="D205" s="49" t="str">
        <v>Open</v>
      </c>
      <c r="E205" s="48">
        <v>21038.571287161634</v>
      </c>
      <c r="F205" s="9" t="str">
        <v>Fully Open</v>
      </c>
      <c r="G205" s="46">
        <f t="shared" si="2"/>
        <v>13.666666666666666</v>
      </c>
    </row>
    <row r="206" spans="1:7">
      <c r="A206" s="44">
        <v>165</v>
      </c>
      <c r="B206" s="49">
        <v>65.439834975423551</v>
      </c>
      <c r="C206">
        <v>20.830146422913117</v>
      </c>
      <c r="D206" s="49" t="str">
        <v>Open</v>
      </c>
      <c r="E206" s="48">
        <v>21213.914045133995</v>
      </c>
      <c r="F206" s="9" t="str">
        <v>Fully Open</v>
      </c>
      <c r="G206" s="46">
        <f t="shared" si="2"/>
        <v>13.75</v>
      </c>
    </row>
    <row r="207" spans="1:7">
      <c r="A207" s="44">
        <v>166</v>
      </c>
      <c r="B207" s="49">
        <v>65.637837954318684</v>
      </c>
      <c r="C207">
        <v>20.893172728589278</v>
      </c>
      <c r="D207" s="49" t="str">
        <v>Open</v>
      </c>
      <c r="E207" s="48">
        <v>21389.25680310636</v>
      </c>
      <c r="F207" s="9" t="str">
        <v>Fully Open</v>
      </c>
      <c r="G207" s="46">
        <f t="shared" si="2"/>
        <v>13.833333333333334</v>
      </c>
    </row>
    <row r="208" spans="1:7">
      <c r="A208" s="44">
        <v>167</v>
      </c>
      <c r="B208" s="49">
        <v>65.835245431486996</v>
      </c>
      <c r="C208">
        <v>20.956009480178551</v>
      </c>
      <c r="D208" s="49" t="str">
        <v>Open</v>
      </c>
      <c r="E208" s="48">
        <v>21564.599561078707</v>
      </c>
      <c r="F208" s="9" t="str">
        <v>Fully Open</v>
      </c>
      <c r="G208" s="46">
        <f t="shared" si="2"/>
        <v>13.916666666666666</v>
      </c>
    </row>
    <row r="209" spans="1:7">
      <c r="A209" s="44">
        <v>168</v>
      </c>
      <c r="B209" s="49">
        <v>66.032062747811096</v>
      </c>
      <c r="C209">
        <v>21.018658377736674</v>
      </c>
      <c r="D209" s="49" t="str">
        <v>Open</v>
      </c>
      <c r="E209" s="48">
        <v>21739.942319051072</v>
      </c>
      <c r="F209" s="9" t="str">
        <v>Fully Open</v>
      </c>
      <c r="G209" s="46">
        <f t="shared" si="2"/>
        <v>14</v>
      </c>
    </row>
    <row r="210" spans="1:7">
      <c r="A210" s="44">
        <v>169</v>
      </c>
      <c r="B210" s="49">
        <v>66.228295164813005</v>
      </c>
      <c r="C210">
        <v>21.081121096058123</v>
      </c>
      <c r="D210" s="49" t="str">
        <v>Open</v>
      </c>
      <c r="E210" s="48">
        <v>21915.285077023429</v>
      </c>
      <c r="F210" s="9" t="str">
        <v>Fully Open</v>
      </c>
      <c r="G210" s="46">
        <f t="shared" si="2"/>
        <v>14.083333333333334</v>
      </c>
    </row>
    <row r="211" spans="1:7">
      <c r="A211" s="44">
        <v>170</v>
      </c>
      <c r="B211" s="49">
        <v>66.42394786629535</v>
      </c>
      <c r="C211">
        <v>21.14339928519852</v>
      </c>
      <c r="D211" s="49" t="str">
        <v>Open</v>
      </c>
      <c r="E211" s="48">
        <v>22090.62783499579</v>
      </c>
      <c r="F211" s="9" t="str">
        <v>Fully Open</v>
      </c>
      <c r="G211" s="46">
        <f t="shared" si="2"/>
        <v>14.166666666666666</v>
      </c>
    </row>
    <row r="212" spans="1:7">
      <c r="A212" s="44">
        <v>171</v>
      </c>
      <c r="B212" s="49">
        <v>66.619025959939222</v>
      </c>
      <c r="C212">
        <v>21.205494570983252</v>
      </c>
      <c r="D212" s="49" t="str">
        <v>Open</v>
      </c>
      <c r="E212" s="48">
        <v>22265.970592968148</v>
      </c>
      <c r="F212" s="9" t="str">
        <v>Fully Open</v>
      </c>
      <c r="G212" s="46">
        <f t="shared" si="2"/>
        <v>14.25</v>
      </c>
    </row>
    <row r="213" spans="1:7">
      <c r="A213" s="44">
        <v>172</v>
      </c>
      <c r="B213" s="49">
        <v>66.813534478859793</v>
      </c>
      <c r="C213">
        <v>21.267408555502634</v>
      </c>
      <c r="D213" s="49" t="str">
        <v>Open</v>
      </c>
      <c r="E213" s="48">
        <v>22441.313350940502</v>
      </c>
      <c r="F213" s="9" t="str">
        <v>Fully Open</v>
      </c>
      <c r="G213" s="46">
        <f t="shared" si="2"/>
        <v>14.333333333333334</v>
      </c>
    </row>
    <row r="214" spans="1:7">
      <c r="A214" s="44">
        <v>173</v>
      </c>
      <c r="B214" s="49">
        <v>67.007478383121679</v>
      </c>
      <c r="C214">
        <v>21.329142817594278</v>
      </c>
      <c r="D214" s="49" t="str">
        <v>Open</v>
      </c>
      <c r="E214" s="48">
        <v>22616.656108912859</v>
      </c>
      <c r="F214" s="9" t="str">
        <v>Fully Open</v>
      </c>
      <c r="G214" s="46">
        <f t="shared" si="2"/>
        <v>14.416666666666666</v>
      </c>
    </row>
    <row r="215" spans="1:7">
      <c r="A215" s="44">
        <v>174</v>
      </c>
      <c r="B215" s="49">
        <v>67.200862561214564</v>
      </c>
      <c r="C215">
        <v>21.390698913312768</v>
      </c>
      <c r="D215" s="49" t="str">
        <v>Open</v>
      </c>
      <c r="E215" s="48">
        <v>22791.998866885217</v>
      </c>
      <c r="F215" s="9" t="str">
        <v>Fully Open</v>
      </c>
      <c r="G215" s="46">
        <f t="shared" si="2"/>
        <v>14.5</v>
      </c>
    </row>
    <row r="216" spans="1:7">
      <c r="A216" s="44">
        <v>175</v>
      </c>
      <c r="B216" s="49">
        <v>67.393691831491026</v>
      </c>
      <c r="C216">
        <v>21.452078376387373</v>
      </c>
      <c r="D216" s="49" t="str">
        <v>Open</v>
      </c>
      <c r="E216" s="48">
        <v>22967.341624857581</v>
      </c>
      <c r="F216" s="9" t="str">
        <v>Fully Open</v>
      </c>
      <c r="G216" s="46">
        <f t="shared" si="2"/>
        <v>14.583333333333334</v>
      </c>
    </row>
    <row r="217" spans="1:7">
      <c r="A217" s="44">
        <v>176</v>
      </c>
      <c r="B217" s="49">
        <v>67.585970943567219</v>
      </c>
      <c r="C217">
        <v>21.513282718667867</v>
      </c>
      <c r="D217" s="49" t="str">
        <v>Open</v>
      </c>
      <c r="E217" s="48">
        <v>23142.684382829935</v>
      </c>
      <c r="F217" s="9" t="str">
        <v>Fully Open</v>
      </c>
      <c r="G217" s="46">
        <f t="shared" si="2"/>
        <v>14.666666666666666</v>
      </c>
    </row>
    <row r="218" spans="1:7">
      <c r="A218" s="44">
        <v>177</v>
      </c>
      <c r="B218" s="49">
        <v>67.777704579687878</v>
      </c>
      <c r="C218">
        <v>21.574313430559037</v>
      </c>
      <c r="D218" s="49" t="str">
        <v>Open</v>
      </c>
      <c r="E218" s="48">
        <v>23318.027140802296</v>
      </c>
      <c r="F218" s="9" t="str">
        <v>Fully Open</v>
      </c>
      <c r="G218" s="46">
        <f t="shared" si="2"/>
        <v>14.75</v>
      </c>
    </row>
    <row r="219" spans="1:7">
      <c r="A219" s="44">
        <v>178</v>
      </c>
      <c r="B219" s="49">
        <v>67.968897356056715</v>
      </c>
      <c r="C219">
        <v>21.635171981444163</v>
      </c>
      <c r="D219" s="49" t="str">
        <v>Open</v>
      </c>
      <c r="E219" s="48">
        <v>23493.369898774654</v>
      </c>
      <c r="F219" s="9" t="str">
        <v>Fully Open</v>
      </c>
      <c r="G219" s="46">
        <f t="shared" si="2"/>
        <v>14.833333333333334</v>
      </c>
    </row>
    <row r="220" spans="1:7">
      <c r="A220" s="44">
        <v>179</v>
      </c>
      <c r="B220" s="49">
        <v>68.159553824133155</v>
      </c>
      <c r="C220">
        <v>21.69585982009778</v>
      </c>
      <c r="D220" s="49" t="str">
        <v>Open</v>
      </c>
      <c r="E220" s="48">
        <v>23668.712656747011</v>
      </c>
      <c r="F220" s="9" t="str">
        <v>Fully Open</v>
      </c>
      <c r="G220" s="46">
        <f t="shared" si="2"/>
        <v>14.916666666666666</v>
      </c>
    </row>
    <row r="221" spans="1:7">
      <c r="A221" s="44">
        <v>180</v>
      </c>
      <c r="B221" s="49">
        <v>68.349678471896539</v>
      </c>
      <c r="C221">
        <v>21.756378375088076</v>
      </c>
      <c r="D221" s="49" t="str">
        <v>Open</v>
      </c>
      <c r="E221" s="48">
        <v>23844.055414719372</v>
      </c>
      <c r="F221" s="9" t="str">
        <v>Fully Open</v>
      </c>
      <c r="G221" s="46">
        <f t="shared" si="2"/>
        <v>15</v>
      </c>
    </row>
    <row r="222" spans="1:7">
      <c r="A222" s="44">
        <v>181</v>
      </c>
      <c r="B222" s="49">
        <v>68.539275725078738</v>
      </c>
      <c r="C222">
        <v>21.816729055169262</v>
      </c>
      <c r="D222" s="49" t="str">
        <v>Open</v>
      </c>
      <c r="E222" s="48">
        <v>24019.39817269173</v>
      </c>
      <c r="F222" s="9" t="str">
        <v>Fully Open</v>
      </c>
      <c r="G222" s="46">
        <f t="shared" si="2"/>
        <v>15.083333333333334</v>
      </c>
    </row>
    <row r="223" spans="1:7">
      <c r="A223" s="44">
        <v>182</v>
      </c>
      <c r="B223" s="49">
        <v>68.728349948366287</v>
      </c>
      <c r="C223">
        <v>21.876913249664209</v>
      </c>
      <c r="D223" s="49" t="str">
        <v>Open</v>
      </c>
      <c r="E223" s="48">
        <v>24194.740930664084</v>
      </c>
      <c r="F223" s="9" t="str">
        <v>Fully Open</v>
      </c>
      <c r="G223" s="46">
        <f t="shared" si="2"/>
        <v>15.166666666666666</v>
      </c>
    </row>
    <row r="224" spans="1:7">
      <c r="A224" s="44">
        <v>183</v>
      </c>
      <c r="B224" s="49">
        <v>68.916905446572628</v>
      </c>
      <c r="C224">
        <v>21.936932328837596</v>
      </c>
      <c r="D224" s="49" t="str">
        <v>Open</v>
      </c>
      <c r="E224" s="48">
        <v>24370.083688636441</v>
      </c>
      <c r="F224" s="9" t="str">
        <v>Fully Open</v>
      </c>
      <c r="G224" s="46">
        <f t="shared" si="2"/>
        <v>15.25</v>
      </c>
    </row>
    <row r="225" spans="1:7">
      <c r="A225" s="44">
        <v>184</v>
      </c>
      <c r="B225" s="49">
        <v>69.104946465781765</v>
      </c>
      <c r="C225">
        <v>21.996787644259943</v>
      </c>
      <c r="D225" s="49" t="str">
        <v>Open</v>
      </c>
      <c r="E225" s="48">
        <v>24545.426446608806</v>
      </c>
      <c r="F225" s="9" t="str">
        <v>Fully Open</v>
      </c>
      <c r="G225" s="46">
        <f t="shared" si="2"/>
        <v>15.333333333333334</v>
      </c>
    </row>
    <row r="226" spans="1:7">
      <c r="A226" s="44">
        <v>185</v>
      </c>
      <c r="B226" s="49">
        <v>69.292477194463856</v>
      </c>
      <c r="C226">
        <v>22.056480529162702</v>
      </c>
      <c r="D226" s="49" t="str">
        <v>Open</v>
      </c>
      <c r="E226" s="48">
        <v>24720.76920458116</v>
      </c>
      <c r="F226" s="9" t="str">
        <v>Fully Open</v>
      </c>
      <c r="G226" s="46">
        <f t="shared" si="2"/>
        <v>15.416666666666666</v>
      </c>
    </row>
    <row r="227" spans="1:7">
      <c r="A227" s="44">
        <v>186</v>
      </c>
      <c r="B227" s="49">
        <v>69.479501764563807</v>
      </c>
      <c r="C227">
        <v>22.116012298784788</v>
      </c>
      <c r="D227" s="49" t="str">
        <v>Open</v>
      </c>
      <c r="E227" s="48">
        <v>24896.111962553525</v>
      </c>
      <c r="F227" s="9" t="str">
        <v>Fully Open</v>
      </c>
      <c r="G227" s="46">
        <f t="shared" si="2"/>
        <v>15.5</v>
      </c>
    </row>
    <row r="228" spans="1:7">
      <c r="A228" s="44">
        <v>187</v>
      </c>
      <c r="B228" s="49">
        <v>69.666024252563432</v>
      </c>
      <c r="C228">
        <v>22.175384250710668</v>
      </c>
      <c r="D228" s="49" t="str">
        <v>Open</v>
      </c>
      <c r="E228" s="48">
        <v>25071.454720525875</v>
      </c>
      <c r="F228" s="9" t="str">
        <v>Fully Open</v>
      </c>
      <c r="G228" s="46">
        <f t="shared" si="2"/>
        <v>15.583333333333334</v>
      </c>
    </row>
    <row r="229" spans="1:7">
      <c r="A229" s="44">
        <v>188</v>
      </c>
      <c r="B229" s="49">
        <v>69.852048680518223</v>
      </c>
      <c r="C229">
        <v>22.234597665200361</v>
      </c>
      <c r="D229" s="49" t="str">
        <v>Open</v>
      </c>
      <c r="E229" s="48">
        <v>25246.79747849824</v>
      </c>
      <c r="F229" s="9" t="str">
        <v>Fully Open</v>
      </c>
      <c r="G229" s="46">
        <f t="shared" si="2"/>
        <v>15.666666666666666</v>
      </c>
    </row>
    <row r="230" spans="1:7">
      <c r="A230" s="44">
        <v>189</v>
      </c>
      <c r="B230" s="49">
        <v>70.037579017069248</v>
      </c>
      <c r="C230">
        <v>22.293653805511561</v>
      </c>
      <c r="D230" s="49" t="str">
        <v>Open</v>
      </c>
      <c r="E230" s="48">
        <v>25422.140236470597</v>
      </c>
      <c r="F230" s="9" t="str">
        <v>Fully Open</v>
      </c>
      <c r="G230" s="46">
        <f t="shared" si="2"/>
        <v>15.75</v>
      </c>
    </row>
    <row r="231" spans="1:7">
      <c r="A231" s="44">
        <v>190</v>
      </c>
      <c r="B231" s="49">
        <v>70.222619178431032</v>
      </c>
      <c r="C231">
        <v>22.35255391821406</v>
      </c>
      <c r="D231" s="49" t="str">
        <v>Open</v>
      </c>
      <c r="E231" s="48">
        <v>25597.482994442955</v>
      </c>
      <c r="F231" s="9" t="str">
        <v>Fully Open</v>
      </c>
      <c r="G231" s="46">
        <f t="shared" si="2"/>
        <v>15.833333333333334</v>
      </c>
    </row>
    <row r="232" spans="1:7">
      <c r="A232" s="44">
        <v>191</v>
      </c>
      <c r="B232" s="49">
        <v>70.407173029356045</v>
      </c>
      <c r="C232">
        <v>22.411299233496781</v>
      </c>
      <c r="D232" s="49" t="str">
        <v>Open</v>
      </c>
      <c r="E232" s="48">
        <v>25772.825752415312</v>
      </c>
      <c r="F232" s="9" t="str">
        <v>Fully Open</v>
      </c>
      <c r="G232" s="46">
        <f t="shared" si="2"/>
        <v>15.916666666666666</v>
      </c>
    </row>
    <row r="233" spans="1:7">
      <c r="A233" s="44">
        <v>192</v>
      </c>
      <c r="B233" s="49">
        <v>70.591244384076518</v>
      </c>
      <c r="C233">
        <v>22.469890965467549</v>
      </c>
      <c r="D233" s="49" t="str">
        <v>Open</v>
      </c>
      <c r="E233" s="48">
        <v>25948.168510387663</v>
      </c>
      <c r="F233" s="9" t="str">
        <v>Fully Open</v>
      </c>
      <c r="G233" s="46">
        <f t="shared" si="2"/>
        <v>16</v>
      </c>
    </row>
    <row r="234" spans="1:7">
      <c r="A234" s="44">
        <v>193</v>
      </c>
      <c r="B234" s="49">
        <v>70.774837007224136</v>
      </c>
      <c r="C234">
        <v>22.528330312445853</v>
      </c>
      <c r="D234" s="49" t="str">
        <v>Open</v>
      </c>
      <c r="E234" s="48">
        <v>26123.511268360027</v>
      </c>
      <c r="F234" s="9" t="str">
        <v>Fully Open</v>
      </c>
      <c r="G234" s="46">
        <f t="shared" si="2"/>
        <v>16.083333333333332</v>
      </c>
    </row>
    <row r="235" spans="1:7">
      <c r="A235" s="44">
        <v>194</v>
      </c>
      <c r="B235" s="49">
        <v>70.957954614728536</v>
      </c>
      <c r="C235">
        <v>22.586618457248825</v>
      </c>
      <c r="D235" s="49" t="str">
        <v>Open</v>
      </c>
      <c r="E235" s="48">
        <v>26298.854026332392</v>
      </c>
      <c r="F235" s="9" t="str">
        <v>Fully Open</v>
      </c>
      <c r="G235" s="46">
        <f t="shared" ref="G235:G281" si="3">A235/12</f>
        <v>16.166666666666668</v>
      </c>
    </row>
    <row r="236" spans="1:7">
      <c r="A236" s="44">
        <v>195</v>
      </c>
      <c r="B236" s="49">
        <v>71.140600874694655</v>
      </c>
      <c r="C236">
        <v>22.644756567470537</v>
      </c>
      <c r="D236" s="49" t="str">
        <v>Open</v>
      </c>
      <c r="E236" s="48">
        <v>26474.19678430475</v>
      </c>
      <c r="F236" s="9" t="str">
        <v>Fully Open</v>
      </c>
      <c r="G236" s="46">
        <f t="shared" si="3"/>
        <v>16.25</v>
      </c>
    </row>
    <row r="237" spans="1:7">
      <c r="A237" s="44">
        <v>196</v>
      </c>
      <c r="B237" s="49">
        <v>71.32277940826016</v>
      </c>
      <c r="C237">
        <v>22.7027457957549</v>
      </c>
      <c r="D237" s="49" t="str">
        <v>Open</v>
      </c>
      <c r="E237" s="48">
        <v>26649.5395422771</v>
      </c>
      <c r="F237" s="9" t="str">
        <v>Fully Open</v>
      </c>
      <c r="G237" s="46">
        <f t="shared" si="3"/>
        <v>16.333333333333332</v>
      </c>
    </row>
    <row r="238" spans="1:7">
      <c r="A238" s="44">
        <v>197</v>
      </c>
      <c r="B238" s="49">
        <v>71.504493790433003</v>
      </c>
      <c r="C238">
        <v>22.760587280062296</v>
      </c>
      <c r="D238" s="49" t="str">
        <v>Open</v>
      </c>
      <c r="E238" s="48">
        <v>26824.882300249457</v>
      </c>
      <c r="F238" s="9" t="str">
        <v>Fully Open</v>
      </c>
      <c r="G238" s="46">
        <f t="shared" si="3"/>
        <v>16.416666666666668</v>
      </c>
    </row>
    <row r="239" spans="1:7">
      <c r="A239" s="44">
        <v>198</v>
      </c>
      <c r="B239" s="49">
        <v>71.685747550910023</v>
      </c>
      <c r="C239">
        <v>22.818282143930119</v>
      </c>
      <c r="D239" s="49" t="str">
        <v>Open</v>
      </c>
      <c r="E239" s="48">
        <v>27000.225058221822</v>
      </c>
      <c r="F239" s="9" t="str">
        <v>Fully Open</v>
      </c>
      <c r="G239" s="46">
        <f t="shared" si="3"/>
        <v>16.5</v>
      </c>
    </row>
    <row r="240" spans="1:7">
      <c r="A240" s="44">
        <v>199</v>
      </c>
      <c r="B240" s="49">
        <v>71.866544174876893</v>
      </c>
      <c r="C240">
        <v>22.875831496727429</v>
      </c>
      <c r="D240" s="49" t="str">
        <v>Open</v>
      </c>
      <c r="E240" s="48">
        <v>27175.56781619418</v>
      </c>
      <c r="F240" s="9" t="str">
        <v>Fully Open</v>
      </c>
      <c r="G240" s="46">
        <f t="shared" si="3"/>
        <v>16.583333333333332</v>
      </c>
    </row>
    <row r="241" spans="1:7">
      <c r="A241" s="44">
        <v>200</v>
      </c>
      <c r="B241" s="49">
        <v>72.046887103790013</v>
      </c>
      <c r="C241">
        <v>22.933236433903815</v>
      </c>
      <c r="D241" s="49" t="str">
        <v>Open</v>
      </c>
      <c r="E241" s="48">
        <v>27350.910574166544</v>
      </c>
      <c r="F241" s="9" t="str">
        <v>Fully Open</v>
      </c>
      <c r="G241" s="46">
        <f t="shared" si="3"/>
        <v>16.666666666666668</v>
      </c>
    </row>
    <row r="242" spans="1:7">
      <c r="A242" s="44">
        <v>201</v>
      </c>
      <c r="B242" s="49">
        <v>72.226779736140756</v>
      </c>
      <c r="C242">
        <v>22.990498037232683</v>
      </c>
      <c r="D242" s="49" t="str">
        <v>Open</v>
      </c>
      <c r="E242" s="48">
        <v>27526.253332138895</v>
      </c>
      <c r="F242" s="9" t="str">
        <v>Fully Open</v>
      </c>
      <c r="G242" s="46">
        <f t="shared" si="3"/>
        <v>16.75</v>
      </c>
    </row>
    <row r="243" spans="1:7">
      <c r="A243" s="44">
        <v>202</v>
      </c>
      <c r="B243" s="49">
        <v>72.406225428202816</v>
      </c>
      <c r="C243">
        <v>23.047617375049128</v>
      </c>
      <c r="D243" s="49" t="str">
        <v>Open</v>
      </c>
      <c r="E243" s="48">
        <v>27701.596090111252</v>
      </c>
      <c r="F243" s="9" t="str">
        <v>Fully Open</v>
      </c>
      <c r="G243" s="46">
        <f t="shared" si="3"/>
        <v>16.833333333333332</v>
      </c>
    </row>
    <row r="244" spans="1:7">
      <c r="A244" s="44">
        <v>203</v>
      </c>
      <c r="B244" s="49">
        <v>72.585227494762719</v>
      </c>
      <c r="C244">
        <v>23.104595502482475</v>
      </c>
      <c r="D244" s="49" t="str">
        <v>Open</v>
      </c>
      <c r="E244" s="48">
        <v>27876.938848083617</v>
      </c>
      <c r="F244" s="9" t="str">
        <v>Fully Open</v>
      </c>
      <c r="G244" s="46">
        <f t="shared" si="3"/>
        <v>16.916666666666668</v>
      </c>
    </row>
    <row r="245" spans="1:7">
      <c r="A245" s="44">
        <v>204</v>
      </c>
      <c r="B245" s="49">
        <v>72.763789209834243</v>
      </c>
      <c r="C245">
        <v>23.161433461683675</v>
      </c>
      <c r="D245" s="49" t="str">
        <v>Open</v>
      </c>
      <c r="E245" s="48">
        <v>28052.281606055974</v>
      </c>
      <c r="F245" s="9" t="str">
        <v>Fully Open</v>
      </c>
      <c r="G245" s="46">
        <f t="shared" si="3"/>
        <v>17</v>
      </c>
    </row>
    <row r="246" spans="1:7">
      <c r="A246" s="44">
        <v>205</v>
      </c>
      <c r="B246" s="49">
        <v>72.941913807357153</v>
      </c>
      <c r="C246">
        <v>23.218132282047726</v>
      </c>
      <c r="D246" s="49" t="str">
        <v>Open</v>
      </c>
      <c r="E246" s="48">
        <v>28227.624364028325</v>
      </c>
      <c r="F246" s="9" t="str">
        <v>Fully Open</v>
      </c>
      <c r="G246" s="46">
        <f t="shared" si="3"/>
        <v>17.083333333333332</v>
      </c>
    </row>
    <row r="247" spans="1:7">
      <c r="A247" s="44">
        <v>206</v>
      </c>
      <c r="B247" s="49">
        <v>73.119604481880586</v>
      </c>
      <c r="C247">
        <v>23.274692980431201</v>
      </c>
      <c r="D247" s="49" t="str">
        <v>Open</v>
      </c>
      <c r="E247" s="48">
        <v>28402.967122000689</v>
      </c>
      <c r="F247" s="9" t="str">
        <v>Fully Open</v>
      </c>
      <c r="G247" s="46">
        <f t="shared" si="3"/>
        <v>17.166666666666668</v>
      </c>
    </row>
    <row r="248" spans="1:7">
      <c r="A248" s="44">
        <v>207</v>
      </c>
      <c r="B248" s="49">
        <v>73.296864389231416</v>
      </c>
      <c r="C248">
        <v>23.331116561364993</v>
      </c>
      <c r="D248" s="49" t="str">
        <v>Open</v>
      </c>
      <c r="E248" s="48">
        <v>28578.30987997304</v>
      </c>
      <c r="F248" s="9" t="str">
        <v>Fully Open</v>
      </c>
      <c r="G248" s="46">
        <f t="shared" si="3"/>
        <v>17.25</v>
      </c>
    </row>
    <row r="249" spans="1:7">
      <c r="A249" s="44">
        <v>208</v>
      </c>
      <c r="B249" s="49">
        <v>73.47369664716831</v>
      </c>
      <c r="C249">
        <v>23.387404017262508</v>
      </c>
      <c r="D249" s="49" t="str">
        <v>Open</v>
      </c>
      <c r="E249" s="48">
        <v>28753.652637945404</v>
      </c>
      <c r="F249" s="9" t="str">
        <v>Fully Open</v>
      </c>
      <c r="G249" s="46">
        <f t="shared" si="3"/>
        <v>17.333333333333332</v>
      </c>
    </row>
    <row r="250" spans="1:7">
      <c r="A250" s="44">
        <v>209</v>
      </c>
      <c r="B250" s="49">
        <v>73.650104336021457</v>
      </c>
      <c r="C250">
        <v>23.443556328623298</v>
      </c>
      <c r="D250" s="49" t="str">
        <v>Open</v>
      </c>
      <c r="E250" s="48">
        <v>28928.995395917769</v>
      </c>
      <c r="F250" s="9" t="str">
        <v>Fully Open</v>
      </c>
      <c r="G250" s="46">
        <f t="shared" si="3"/>
        <v>17.416666666666668</v>
      </c>
    </row>
    <row r="251" spans="1:7">
      <c r="A251" s="44">
        <v>210</v>
      </c>
      <c r="B251" s="49">
        <v>73.826090499318582</v>
      </c>
      <c r="C251">
        <v>23.499574464232328</v>
      </c>
      <c r="D251" s="49" t="str">
        <v>Open</v>
      </c>
      <c r="E251" s="48">
        <v>29104.338153890119</v>
      </c>
      <c r="F251" s="9" t="str">
        <v>Fully Open</v>
      </c>
      <c r="G251" s="46">
        <f t="shared" si="3"/>
        <v>17.5</v>
      </c>
    </row>
    <row r="252" spans="1:7">
      <c r="A252" s="44">
        <v>211</v>
      </c>
      <c r="B252" s="49">
        <v>74.001658144397737</v>
      </c>
      <c r="C252">
        <v>23.555459381355032</v>
      </c>
      <c r="D252" s="49" t="str">
        <v>Open</v>
      </c>
      <c r="E252" s="48">
        <v>29279.680911862477</v>
      </c>
      <c r="F252" s="9" t="str">
        <v>Fully Open</v>
      </c>
      <c r="G252" s="46">
        <f t="shared" si="3"/>
        <v>17.583333333333332</v>
      </c>
    </row>
    <row r="253" spans="1:7">
      <c r="A253" s="44">
        <v>212</v>
      </c>
      <c r="B253" s="49">
        <v>74.176810243006813</v>
      </c>
      <c r="C253">
        <v>23.611212025928136</v>
      </c>
      <c r="D253" s="49" t="str">
        <v>Open</v>
      </c>
      <c r="E253" s="48">
        <v>29455.023669834834</v>
      </c>
      <c r="F253" s="9" t="str">
        <v>Fully Open</v>
      </c>
      <c r="G253" s="46">
        <f t="shared" si="3"/>
        <v>17.666666666666668</v>
      </c>
    </row>
    <row r="254" spans="1:7">
      <c r="A254" s="44">
        <v>213</v>
      </c>
      <c r="B254" s="49">
        <v>74.351549731890401</v>
      </c>
      <c r="C254">
        <v>23.666833332746485</v>
      </c>
      <c r="D254" s="49" t="str">
        <v>Open</v>
      </c>
      <c r="E254" s="48">
        <v>29630.366427807199</v>
      </c>
      <c r="F254" s="9" t="str">
        <v>Fully Open</v>
      </c>
      <c r="G254" s="46">
        <f t="shared" si="3"/>
        <v>17.75</v>
      </c>
    </row>
    <row r="255" spans="1:7">
      <c r="A255" s="44">
        <v>214</v>
      </c>
      <c r="B255" s="49">
        <v>74.525879513364359</v>
      </c>
      <c r="C255">
        <v>23.722324225645906</v>
      </c>
      <c r="D255" s="49" t="str">
        <v>Open</v>
      </c>
      <c r="E255" s="48">
        <v>29805.709185779549</v>
      </c>
      <c r="F255" s="9" t="str">
        <v>Fully Open</v>
      </c>
      <c r="G255" s="46">
        <f t="shared" si="3"/>
        <v>17.833333333333332</v>
      </c>
    </row>
    <row r="256" spans="1:7">
      <c r="A256" s="44">
        <v>215</v>
      </c>
      <c r="B256" s="49">
        <v>74.699802455878242</v>
      </c>
      <c r="C256">
        <v>23.777685617682252</v>
      </c>
      <c r="D256" s="49" t="str">
        <v>Open</v>
      </c>
      <c r="E256" s="48">
        <v>29981.051943751914</v>
      </c>
      <c r="F256" s="9" t="str">
        <v>Fully Open</v>
      </c>
      <c r="G256" s="46">
        <f t="shared" si="3"/>
        <v>17.916666666666668</v>
      </c>
    </row>
    <row r="257" spans="1:7">
      <c r="A257" s="44">
        <v>216</v>
      </c>
      <c r="B257" s="49">
        <v>74.873321394565934</v>
      </c>
      <c r="C257">
        <v>23.832918411306661</v>
      </c>
      <c r="D257" s="49" t="str">
        <v>Open</v>
      </c>
      <c r="E257" s="48">
        <v>30156.394701724264</v>
      </c>
      <c r="F257" s="9" t="str">
        <v>Fully Open</v>
      </c>
      <c r="G257" s="46">
        <f t="shared" si="3"/>
        <v>18</v>
      </c>
    </row>
    <row r="258" spans="1:7">
      <c r="A258" s="44">
        <v>217</v>
      </c>
      <c r="B258" s="49">
        <v>75.046439131784894</v>
      </c>
      <c r="C258">
        <v>23.888023498537226</v>
      </c>
      <c r="D258" s="49" t="str">
        <v>Open</v>
      </c>
      <c r="E258" s="48">
        <v>30331.737459696629</v>
      </c>
      <c r="F258" s="9" t="str">
        <v>Fully Open</v>
      </c>
      <c r="G258" s="46">
        <f t="shared" si="3"/>
        <v>18.083333333333332</v>
      </c>
    </row>
    <row r="259" spans="1:7">
      <c r="A259" s="44">
        <v>218</v>
      </c>
      <c r="B259" s="49">
        <v>75.219158437644239</v>
      </c>
      <c r="C259">
        <v>23.943001761127057</v>
      </c>
      <c r="D259" s="49" t="str">
        <v>Open</v>
      </c>
      <c r="E259" s="48">
        <v>30507.080217668994</v>
      </c>
      <c r="F259" s="9" t="str">
        <v>Fully Open</v>
      </c>
      <c r="G259" s="46">
        <f t="shared" si="3"/>
        <v>18.166666666666668</v>
      </c>
    </row>
    <row r="260" spans="1:7">
      <c r="A260" s="44">
        <v>219</v>
      </c>
      <c r="B260" s="49">
        <v>75.391482050521844</v>
      </c>
      <c r="C260">
        <v>23.997854070728906</v>
      </c>
      <c r="D260" s="49" t="str">
        <v>Open</v>
      </c>
      <c r="E260" s="48">
        <v>30682.422975641344</v>
      </c>
      <c r="F260" s="9" t="str">
        <v>Fully Open</v>
      </c>
      <c r="G260" s="46">
        <f t="shared" si="3"/>
        <v>18.25</v>
      </c>
    </row>
    <row r="261" spans="1:7">
      <c r="A261" s="44">
        <v>220</v>
      </c>
      <c r="B261" s="49">
        <v>75.563412677570952</v>
      </c>
      <c r="C261">
        <v>24.052581289056416</v>
      </c>
      <c r="D261" s="49" t="str">
        <v>Open</v>
      </c>
      <c r="E261" s="48">
        <v>30857.765733613702</v>
      </c>
      <c r="F261" s="9" t="str">
        <v>Fully Open</v>
      </c>
      <c r="G261" s="46">
        <f t="shared" si="3"/>
        <v>18.333333333333332</v>
      </c>
    </row>
    <row r="262" spans="1:7">
      <c r="A262" s="44">
        <v>221</v>
      </c>
      <c r="B262" s="49">
        <v>75.73495299521629</v>
      </c>
      <c r="C262">
        <v>24.107184268042033</v>
      </c>
      <c r="D262" s="49" t="str">
        <v>Open</v>
      </c>
      <c r="E262" s="48">
        <v>31033.108491586059</v>
      </c>
      <c r="F262" s="9" t="str">
        <v>Fully Open</v>
      </c>
      <c r="G262" s="46">
        <f t="shared" si="3"/>
        <v>18.416666666666668</v>
      </c>
    </row>
    <row r="263" spans="1:7">
      <c r="A263" s="44">
        <v>222</v>
      </c>
      <c r="B263" s="49">
        <v>75.906105649640281</v>
      </c>
      <c r="C263">
        <v>24.16166384999179</v>
      </c>
      <c r="D263" s="49" t="str">
        <v>Open</v>
      </c>
      <c r="E263" s="48">
        <v>31208.451249558417</v>
      </c>
      <c r="F263" s="9" t="str">
        <v>Fully Open</v>
      </c>
      <c r="G263" s="46">
        <f t="shared" si="3"/>
        <v>18.5</v>
      </c>
    </row>
    <row r="264" spans="1:7">
      <c r="A264" s="44">
        <v>223</v>
      </c>
      <c r="B264" s="49">
        <v>76.076873257259223</v>
      </c>
      <c r="C264">
        <v>24.216020867736852</v>
      </c>
      <c r="D264" s="49" t="str">
        <v>Open</v>
      </c>
      <c r="E264" s="48">
        <v>31383.794007530774</v>
      </c>
      <c r="F264" s="9" t="str">
        <v>Fully Open</v>
      </c>
      <c r="G264" s="46">
        <f t="shared" si="3"/>
        <v>18.583333333333332</v>
      </c>
    </row>
    <row r="265" spans="1:7">
      <c r="A265" s="44">
        <v>224</v>
      </c>
      <c r="B265" s="49">
        <v>76.247258405189982</v>
      </c>
      <c r="C265">
        <v>24.270256144782099</v>
      </c>
      <c r="D265" s="49" t="str">
        <v>Open</v>
      </c>
      <c r="E265" s="48">
        <v>31559.136765503139</v>
      </c>
      <c r="F265" s="9" t="str">
        <v>Fully Open</v>
      </c>
      <c r="G265" s="46">
        <f t="shared" si="3"/>
        <v>18.666666666666668</v>
      </c>
    </row>
    <row r="266" spans="1:7">
      <c r="A266" s="44">
        <v>225</v>
      </c>
      <c r="B266" s="49">
        <v>76.417263651707302</v>
      </c>
      <c r="C266">
        <v>24.324370495451674</v>
      </c>
      <c r="D266" s="49" t="str">
        <v>Open</v>
      </c>
      <c r="E266" s="48">
        <v>31734.479523475497</v>
      </c>
      <c r="F266" s="9" t="str">
        <v>Fully Open</v>
      </c>
      <c r="G266" s="46">
        <f t="shared" si="3"/>
        <v>18.75</v>
      </c>
    </row>
    <row r="267" spans="1:7">
      <c r="A267" s="44">
        <v>226</v>
      </c>
      <c r="B267" s="49">
        <v>76.586891526691943</v>
      </c>
      <c r="C267">
        <v>24.378364725031634</v>
      </c>
      <c r="D267" s="49" t="str">
        <v>Open</v>
      </c>
      <c r="E267" s="48">
        <v>31909.822281447847</v>
      </c>
      <c r="F267" s="9" t="str">
        <v>Fully Open</v>
      </c>
      <c r="G267" s="46">
        <f t="shared" si="3"/>
        <v>18.833333333333332</v>
      </c>
    </row>
    <row r="268" spans="1:7">
      <c r="A268" s="44">
        <v>227</v>
      </c>
      <c r="B268" s="49">
        <v>76.756144532069939</v>
      </c>
      <c r="C268">
        <v>24.43223962990977</v>
      </c>
      <c r="D268" s="49" t="str">
        <v>Open</v>
      </c>
      <c r="E268" s="48">
        <v>32085.165039420212</v>
      </c>
      <c r="F268" s="9" t="str">
        <v>Fully Open</v>
      </c>
      <c r="G268" s="46">
        <f t="shared" si="3"/>
        <v>18.916666666666668</v>
      </c>
    </row>
    <row r="269" spans="1:7">
      <c r="A269" s="44">
        <v>228</v>
      </c>
      <c r="B269" s="49">
        <v>76.925025142243143</v>
      </c>
      <c r="C269">
        <v>24.485995997712653</v>
      </c>
      <c r="D269" s="49" t="str">
        <v>Open</v>
      </c>
      <c r="E269" s="48">
        <v>32260.507797392569</v>
      </c>
      <c r="F269" s="9" t="str">
        <v>Fully Open</v>
      </c>
      <c r="G269" s="46">
        <f t="shared" si="3"/>
        <v>19</v>
      </c>
    </row>
    <row r="270" spans="1:7">
      <c r="A270" s="44">
        <v>229</v>
      </c>
      <c r="B270" s="49">
        <v>77.093535804511333</v>
      </c>
      <c r="C270">
        <v>24.539634607439993</v>
      </c>
      <c r="D270" s="49" t="str">
        <v>Open</v>
      </c>
      <c r="E270" s="48">
        <v>32435.850555364927</v>
      </c>
      <c r="F270" s="9" t="str">
        <v>Fully Open</v>
      </c>
      <c r="G270" s="46">
        <f t="shared" si="3"/>
        <v>19.083333333333332</v>
      </c>
    </row>
    <row r="271" spans="1:7">
      <c r="A271" s="44">
        <v>230</v>
      </c>
      <c r="B271" s="49">
        <v>77.261678939485932</v>
      </c>
      <c r="C271">
        <v>24.593156229596346</v>
      </c>
      <c r="D271" s="49" t="str">
        <v>Open</v>
      </c>
      <c r="E271" s="48">
        <v>32611.193313337291</v>
      </c>
      <c r="F271" s="9" t="str">
        <v>Fully Open</v>
      </c>
      <c r="G271" s="46">
        <f t="shared" si="3"/>
        <v>19.166666666666668</v>
      </c>
    </row>
    <row r="272" spans="1:7">
      <c r="A272" s="44">
        <v>231</v>
      </c>
      <c r="B272" s="49">
        <v>77.429456941495687</v>
      </c>
      <c r="C272">
        <v>24.646561626320214</v>
      </c>
      <c r="D272" s="49" t="str">
        <v>Open</v>
      </c>
      <c r="E272" s="48">
        <v>32786.536071309645</v>
      </c>
      <c r="F272" s="9" t="str">
        <v>Fully Open</v>
      </c>
      <c r="G272" s="46">
        <f t="shared" si="3"/>
        <v>19.25</v>
      </c>
    </row>
    <row r="273" spans="1:7">
      <c r="A273" s="44">
        <v>232</v>
      </c>
      <c r="B273" s="49">
        <v>77.59687217898454</v>
      </c>
      <c r="C273">
        <v>24.699851551510722</v>
      </c>
      <c r="D273" s="49" t="str">
        <v>Open</v>
      </c>
      <c r="E273" s="48">
        <v>32961.878829281995</v>
      </c>
      <c r="F273" s="9" t="str">
        <v>Fully Open</v>
      </c>
      <c r="G273" s="46">
        <f t="shared" si="3"/>
        <v>19.333333333333332</v>
      </c>
    </row>
    <row r="274" spans="1:7">
      <c r="A274" s="44">
        <v>233</v>
      </c>
      <c r="B274" s="49">
        <v>77.763926994901681</v>
      </c>
      <c r="C274">
        <v>24.753026750951761</v>
      </c>
      <c r="D274" s="49" t="str">
        <v>Open</v>
      </c>
      <c r="E274" s="48">
        <v>33137.22158725436</v>
      </c>
      <c r="F274" s="9" t="str">
        <v>Fully Open</v>
      </c>
      <c r="G274" s="46">
        <f t="shared" si="3"/>
        <v>19.416666666666668</v>
      </c>
    </row>
    <row r="275" spans="1:7">
      <c r="A275" s="44">
        <v>234</v>
      </c>
      <c r="B275" s="49">
        <v>77.930623707084038</v>
      </c>
      <c r="C275">
        <v>24.80608796243374</v>
      </c>
      <c r="D275" s="49" t="str">
        <v>Open</v>
      </c>
      <c r="E275" s="48">
        <v>33312.564345226725</v>
      </c>
      <c r="F275" s="9" t="str">
        <v>Fully Open</v>
      </c>
      <c r="G275" s="46">
        <f t="shared" si="3"/>
        <v>19.5</v>
      </c>
    </row>
    <row r="276" spans="1:7">
      <c r="A276" s="44">
        <v>235</v>
      </c>
      <c r="B276" s="49">
        <v>78.096964608631623</v>
      </c>
      <c r="C276">
        <v>24.859035915873061</v>
      </c>
      <c r="D276" s="49" t="str">
        <v>Open</v>
      </c>
      <c r="E276" s="48">
        <v>33487.907103199075</v>
      </c>
      <c r="F276" s="9" t="str">
        <v>Fully Open</v>
      </c>
      <c r="G276" s="46">
        <f t="shared" si="3"/>
        <v>19.583333333333332</v>
      </c>
    </row>
    <row r="277" spans="1:7">
      <c r="A277" s="44">
        <v>236</v>
      </c>
      <c r="B277" s="49">
        <v>78.262951968275445</v>
      </c>
      <c r="C277">
        <v>24.911871333429232</v>
      </c>
      <c r="D277" s="49" t="str">
        <v>Open</v>
      </c>
      <c r="E277" s="48">
        <v>33663.24986117144</v>
      </c>
      <c r="F277" s="9" t="str">
        <v>Fully Open</v>
      </c>
      <c r="G277" s="46">
        <f t="shared" si="3"/>
        <v>19.666666666666668</v>
      </c>
    </row>
    <row r="278" spans="1:7">
      <c r="A278" s="44">
        <v>237</v>
      </c>
      <c r="B278" s="49">
        <v>78.428588030738638</v>
      </c>
      <c r="C278">
        <v>24.964594929619825</v>
      </c>
      <c r="D278" s="49" t="str">
        <v>Open</v>
      </c>
      <c r="E278" s="48">
        <v>33838.59261914379</v>
      </c>
      <c r="F278" s="9" t="str">
        <v>Fully Open</v>
      </c>
      <c r="G278" s="46">
        <f t="shared" si="3"/>
        <v>19.75</v>
      </c>
    </row>
    <row r="279" spans="1:7">
      <c r="A279" s="44">
        <v>238</v>
      </c>
      <c r="B279" s="49">
        <v>78.593875017090568</v>
      </c>
      <c r="C279">
        <v>25.017207411433169</v>
      </c>
      <c r="D279" s="49" t="str">
        <v>Open</v>
      </c>
      <c r="E279" s="48">
        <v>34013.935377116155</v>
      </c>
      <c r="F279" s="9" t="str">
        <v>Fully Open</v>
      </c>
      <c r="G279" s="46">
        <f t="shared" si="3"/>
        <v>19.833333333333332</v>
      </c>
    </row>
    <row r="280" spans="1:7">
      <c r="A280" s="44">
        <v>239</v>
      </c>
      <c r="B280" s="49">
        <v>78.758815125094316</v>
      </c>
      <c r="C280">
        <v>25.069709478438984</v>
      </c>
      <c r="D280" s="49" t="str">
        <v>Open</v>
      </c>
      <c r="E280" s="48">
        <v>34189.27813508852</v>
      </c>
      <c r="F280" s="9" t="str">
        <v>Fully Open</v>
      </c>
      <c r="G280" s="46">
        <f t="shared" si="3"/>
        <v>19.916666666666668</v>
      </c>
    </row>
    <row r="281" spans="1:7">
      <c r="A281" s="44">
        <v>240</v>
      </c>
      <c r="B281" s="49">
        <v>78.923410529547667</v>
      </c>
      <c r="C281">
        <v>25.122101822896905</v>
      </c>
      <c r="D281" s="49" t="str">
        <v>Open</v>
      </c>
      <c r="E281" s="48">
        <v>34364.62089306087</v>
      </c>
      <c r="F281" s="9" t="str">
        <v>Fully Open</v>
      </c>
      <c r="G281" s="46">
        <f t="shared" si="3"/>
        <v>20</v>
      </c>
    </row>
    <row r="282" spans="1:7">
      <c r="A282" s="44"/>
      <c r="B282" s="49"/>
      <c r="D282" s="49"/>
      <c r="E282" s="48"/>
      <c r="G282" s="46"/>
    </row>
    <row r="283" spans="1:7">
      <c r="A283" s="44"/>
      <c r="B283" s="49"/>
      <c r="D283" s="49"/>
      <c r="E283" s="48"/>
      <c r="G283" s="46"/>
    </row>
    <row r="284" spans="1:7">
      <c r="A284" s="44"/>
      <c r="B284" s="49"/>
      <c r="D284" s="49"/>
      <c r="E284" s="48"/>
      <c r="G284" s="46"/>
    </row>
    <row r="285" spans="1:7">
      <c r="A285" s="44"/>
      <c r="B285" s="49"/>
      <c r="D285" s="49"/>
      <c r="E285" s="48"/>
      <c r="G285" s="46"/>
    </row>
  </sheetData>
  <customSheetViews>
    <customSheetView guid="{C8C28A16-3CAD-4F54-A986-B4BB76010774}" showPageBreaks="1" hiddenRows="1">
      <selection activeCell="C17" sqref="C17"/>
      <pageMargins left="0.7" right="0.7" top="0.75" bottom="0.75" header="0.3" footer="0.3"/>
      <pageSetup orientation="portrait" r:id="rId1"/>
    </customSheetView>
    <customSheetView guid="{69D25061-22BB-4069-9A58-30FF41B45BB4}" showPageBreaks="1" hiddenRows="1" state="hidden">
      <selection activeCell="C17" sqref="C17"/>
      <pageMargins left="0.7" right="0.7" top="0.75" bottom="0.75" header="0.3" footer="0.3"/>
      <pageSetup orientation="portrait" r:id="rId2"/>
    </customSheetView>
  </customSheetViews>
  <conditionalFormatting sqref="H27">
    <cfRule type="cellIs" dxfId="5" priority="1" operator="equal">
      <formula>"Closed"</formula>
    </cfRule>
    <cfRule type="cellIs" dxfId="4" priority="2" operator="equal">
      <formula>"OPEN"</formula>
    </cfRule>
  </conditionalFormatting>
  <dataValidations count="5">
    <dataValidation type="custom" allowBlank="1" showInputMessage="1" showErrorMessage="1" sqref="D6" xr:uid="{AD703972-C696-470B-83C1-2E22F59FBB33}">
      <formula1>D6&lt;240.001</formula1>
    </dataValidation>
    <dataValidation type="decimal" allowBlank="1" showInputMessage="1" showErrorMessage="1" sqref="B19" xr:uid="{D86EDBD9-A40E-48CA-B323-7C88FE419B86}">
      <formula1>0.001</formula1>
      <formula2>0.99</formula2>
    </dataValidation>
    <dataValidation type="custom" allowBlank="1" showInputMessage="1" showErrorMessage="1" sqref="D13" xr:uid="{69B2DD7C-0A52-44E0-A8C5-4CA3334ADA73}">
      <formula1>D13&lt;D4/2</formula1>
    </dataValidation>
    <dataValidation type="custom" allowBlank="1" showInputMessage="1" showErrorMessage="1" sqref="D8" xr:uid="{A87569FE-C1F2-41C7-AF7B-7F175E1FAC8C}">
      <formula1>D8&lt;5%</formula1>
    </dataValidation>
    <dataValidation type="custom" allowBlank="1" showInputMessage="1" showErrorMessage="1" sqref="D7" xr:uid="{4E9D5935-AF37-46A8-8450-2F99966D8A62}">
      <formula1>D7&lt;240</formula1>
    </dataValidation>
  </dataValidations>
  <pageMargins left="0.7" right="0.7" top="0.75" bottom="0.75" header="0.3" footer="0.3"/>
  <pageSetup orientation="portrait" r:id="rId3"/>
  <drawing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A1EF2-81C6-4DCB-8037-3FD43325D752}">
  <sheetPr codeName="Sheet11"/>
  <dimension ref="A3:M91"/>
  <sheetViews>
    <sheetView topLeftCell="A31" zoomScaleNormal="100"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s>
  <sheetData>
    <row r="3" spans="1:4">
      <c r="A3" s="5" t="s">
        <v>17</v>
      </c>
      <c r="B3" s="5" t="s">
        <v>18</v>
      </c>
      <c r="C3" s="5">
        <f>'Data Table Input'!D4/12</f>
        <v>2</v>
      </c>
      <c r="D3" s="5" t="s">
        <v>5</v>
      </c>
    </row>
    <row r="4" spans="1:4">
      <c r="A4" s="5" t="s">
        <v>20</v>
      </c>
      <c r="B4" s="5" t="s">
        <v>21</v>
      </c>
      <c r="C4" s="5">
        <f>C3/2</f>
        <v>1</v>
      </c>
      <c r="D4" s="5" t="s">
        <v>5</v>
      </c>
    </row>
    <row r="5" spans="1:4">
      <c r="A5" s="5" t="s">
        <v>22</v>
      </c>
      <c r="B5" s="5" t="s">
        <v>23</v>
      </c>
      <c r="C5" s="5">
        <f>'Data Table Input'!F7</f>
        <v>8.3333333333333329E-2</v>
      </c>
      <c r="D5" s="5" t="s">
        <v>5</v>
      </c>
    </row>
    <row r="6" spans="1:4">
      <c r="A6" s="5" t="s">
        <v>135</v>
      </c>
      <c r="B6" s="5"/>
      <c r="C6" s="5">
        <f>PI()*C3^2/4</f>
        <v>3.1415926535897931</v>
      </c>
      <c r="D6" s="5" t="s">
        <v>32</v>
      </c>
    </row>
    <row r="7" spans="1:4">
      <c r="A7" s="5" t="s">
        <v>25</v>
      </c>
      <c r="B7" s="5" t="s">
        <v>26</v>
      </c>
      <c r="C7" s="5">
        <f>IF(C5&lt;C4,C5,2*C4-C5)</f>
        <v>8.3333333333333329E-2</v>
      </c>
      <c r="D7" s="5" t="s">
        <v>5</v>
      </c>
    </row>
    <row r="8" spans="1:4">
      <c r="A8" s="5" t="s">
        <v>27</v>
      </c>
      <c r="B8" s="6" t="s">
        <v>28</v>
      </c>
      <c r="C8" s="5">
        <f>2*ACOS((C4-C7)/C4)</f>
        <v>0.82227572464469567</v>
      </c>
      <c r="D8" s="5" t="s">
        <v>29</v>
      </c>
    </row>
    <row r="9" spans="1:4">
      <c r="A9" s="5"/>
      <c r="B9" s="5"/>
      <c r="C9" s="5">
        <f>C8*180/PI()</f>
        <v>47.112928618202481</v>
      </c>
      <c r="D9" s="5" t="s">
        <v>9</v>
      </c>
    </row>
    <row r="10" spans="1:4">
      <c r="A10" s="5" t="s">
        <v>30</v>
      </c>
      <c r="B10" s="5" t="s">
        <v>31</v>
      </c>
      <c r="C10" s="5">
        <f>C4^2*(C8-SIN(C8))/2</f>
        <v>4.4789620958181675E-2</v>
      </c>
      <c r="D10" s="5" t="s">
        <v>32</v>
      </c>
    </row>
    <row r="11" spans="1:4">
      <c r="A11" s="5" t="s">
        <v>35</v>
      </c>
      <c r="B11" s="5" t="s">
        <v>36</v>
      </c>
      <c r="C11" s="5">
        <f>C4*C8</f>
        <v>0.82227572464469567</v>
      </c>
      <c r="D11" s="5" t="s">
        <v>37</v>
      </c>
    </row>
    <row r="12" spans="1:4">
      <c r="A12" s="5" t="s">
        <v>38</v>
      </c>
      <c r="B12" s="5" t="s">
        <v>33</v>
      </c>
      <c r="C12" s="5">
        <f>IF(C5&gt;C3,C6,IF(C5&lt;C4,C10,PI()*C4^2-C10))</f>
        <v>4.4789620958181675E-2</v>
      </c>
      <c r="D12" s="5" t="s">
        <v>32</v>
      </c>
    </row>
    <row r="13" spans="1:4">
      <c r="A13" s="5" t="s">
        <v>39</v>
      </c>
      <c r="B13" s="5" t="s">
        <v>40</v>
      </c>
      <c r="C13" s="5">
        <f>IF(C5&lt;C4,C11,2*PI()*C4-C11)</f>
        <v>0.82227572464469567</v>
      </c>
      <c r="D13" s="5" t="s">
        <v>37</v>
      </c>
    </row>
    <row r="14" spans="1:4" ht="18">
      <c r="A14" s="5" t="s">
        <v>42</v>
      </c>
      <c r="B14" s="5" t="s">
        <v>43</v>
      </c>
      <c r="C14" s="5">
        <f>IF(C5=0,0,C12/C13)</f>
        <v>5.4470318915878509E-2</v>
      </c>
      <c r="D14" s="5" t="s">
        <v>37</v>
      </c>
    </row>
    <row r="16" spans="1:4">
      <c r="A16" s="10" t="s">
        <v>86</v>
      </c>
      <c r="B16" s="3"/>
      <c r="C16" s="3"/>
      <c r="D16" s="3"/>
    </row>
    <row r="17" spans="1:13">
      <c r="A17" s="3" t="s">
        <v>88</v>
      </c>
      <c r="B17" s="3" t="s">
        <v>64</v>
      </c>
      <c r="C17" s="3">
        <f>'Data Table Input'!D13/12</f>
        <v>0.25</v>
      </c>
      <c r="D17" s="3" t="s">
        <v>5</v>
      </c>
      <c r="E17" s="42" t="s">
        <v>125</v>
      </c>
    </row>
    <row r="18" spans="1:13">
      <c r="A18" s="3" t="s">
        <v>87</v>
      </c>
      <c r="B18" s="3"/>
      <c r="C18" s="3">
        <f>2*ACOS((C4-C17)/C4)</f>
        <v>1.4454684956268311</v>
      </c>
      <c r="D18" s="3" t="s">
        <v>29</v>
      </c>
    </row>
    <row r="19" spans="1:13">
      <c r="A19" s="3"/>
      <c r="B19" s="3"/>
      <c r="C19" s="3">
        <f>C18*180/PI()</f>
        <v>82.819244218541712</v>
      </c>
      <c r="D19" s="3" t="s">
        <v>9</v>
      </c>
    </row>
    <row r="20" spans="1:13">
      <c r="A20" s="3" t="s">
        <v>121</v>
      </c>
      <c r="B20" s="3"/>
      <c r="C20" s="3">
        <f>C4^2*(C18-SIN(C18))/2</f>
        <v>0.22665587698880485</v>
      </c>
      <c r="D20" s="3" t="s">
        <v>32</v>
      </c>
    </row>
    <row r="21" spans="1:13">
      <c r="A21" s="3" t="s">
        <v>89</v>
      </c>
      <c r="B21" s="3"/>
      <c r="C21" s="3">
        <f>IF(C5&gt;C3,C6,C12-C20)</f>
        <v>-0.18186625603062317</v>
      </c>
      <c r="D21" s="3" t="s">
        <v>32</v>
      </c>
    </row>
    <row r="23" spans="1:13">
      <c r="A23" s="5" t="s">
        <v>49</v>
      </c>
      <c r="B23" s="5" t="s">
        <v>36</v>
      </c>
      <c r="C23" s="43">
        <f>'Data Table Input'!D8</f>
        <v>0.01</v>
      </c>
      <c r="D23" s="5" t="s">
        <v>50</v>
      </c>
    </row>
    <row r="24" spans="1:13">
      <c r="A24" s="5"/>
      <c r="B24" s="5"/>
      <c r="C24" s="8">
        <f>C23</f>
        <v>0.01</v>
      </c>
      <c r="D24" s="5" t="s">
        <v>51</v>
      </c>
    </row>
    <row r="25" spans="1:13">
      <c r="A25" s="5" t="s">
        <v>52</v>
      </c>
      <c r="B25" s="5" t="s">
        <v>16</v>
      </c>
      <c r="C25" s="5">
        <f>'Data Table Input'!D10</f>
        <v>1.0999999999999999E-2</v>
      </c>
      <c r="D25" s="5"/>
    </row>
    <row r="26" spans="1:13">
      <c r="A26" s="5"/>
      <c r="B26" s="5"/>
      <c r="C26" s="5"/>
      <c r="D26" s="5"/>
    </row>
    <row r="27" spans="1:13">
      <c r="A27" s="5" t="s">
        <v>22</v>
      </c>
      <c r="B27" s="5" t="s">
        <v>23</v>
      </c>
      <c r="C27" s="5">
        <f>C5</f>
        <v>8.3333333333333329E-2</v>
      </c>
      <c r="D27" s="5" t="s">
        <v>5</v>
      </c>
    </row>
    <row r="28" spans="1:13">
      <c r="A28" s="5"/>
      <c r="B28" s="5"/>
      <c r="C28" s="5"/>
      <c r="D28" s="5"/>
    </row>
    <row r="29" spans="1:13">
      <c r="A29" s="5" t="s">
        <v>53</v>
      </c>
      <c r="B29" s="5" t="s">
        <v>54</v>
      </c>
      <c r="C29" s="5">
        <f>(1.49/C25)*C12*(C14)^(2/3)*(C24^0.5)</f>
        <v>8.7178805822423946E-2</v>
      </c>
      <c r="D29" s="5" t="s">
        <v>55</v>
      </c>
      <c r="K29" s="7" t="s">
        <v>44</v>
      </c>
    </row>
    <row r="30" spans="1:13">
      <c r="A30" s="5"/>
      <c r="B30" s="5"/>
      <c r="C30" s="5">
        <f>C29*7.48*60</f>
        <v>39.125848053103866</v>
      </c>
      <c r="D30" s="5" t="s">
        <v>56</v>
      </c>
    </row>
    <row r="31" spans="1:13">
      <c r="A31" s="5"/>
      <c r="B31" s="5"/>
      <c r="C31" s="5"/>
      <c r="D31" s="5"/>
      <c r="K31" t="s">
        <v>46</v>
      </c>
      <c r="L31">
        <v>72</v>
      </c>
      <c r="M31" t="s">
        <v>4</v>
      </c>
    </row>
    <row r="32" spans="1:13">
      <c r="A32" s="5" t="s">
        <v>57</v>
      </c>
      <c r="B32" s="5" t="s">
        <v>58</v>
      </c>
      <c r="C32" s="5">
        <f>IF(C29=0,0,C29/C12)</f>
        <v>1.946406420894238</v>
      </c>
      <c r="D32" s="5" t="s">
        <v>59</v>
      </c>
      <c r="K32" t="s">
        <v>47</v>
      </c>
      <c r="L32">
        <v>6</v>
      </c>
      <c r="M32" t="s">
        <v>4</v>
      </c>
    </row>
    <row r="33" spans="1:13">
      <c r="A33" s="5"/>
      <c r="B33" s="5"/>
      <c r="C33" s="5"/>
      <c r="D33" s="5"/>
      <c r="K33" t="s">
        <v>48</v>
      </c>
      <c r="L33">
        <f>(L31^2-(L32/2)^2)^0.5</f>
        <v>71.937472849690792</v>
      </c>
      <c r="M33" t="s">
        <v>4</v>
      </c>
    </row>
    <row r="34" spans="1:13">
      <c r="A34" s="5"/>
      <c r="B34" s="5"/>
      <c r="C34" s="5"/>
      <c r="D34" s="5"/>
      <c r="K34" t="s">
        <v>47</v>
      </c>
      <c r="L34">
        <f>180-2*ASIN(L33/L31)*180/PI()</f>
        <v>4.7760309265376861</v>
      </c>
      <c r="M34" t="s">
        <v>9</v>
      </c>
    </row>
    <row r="35" spans="1:13">
      <c r="A35" s="5"/>
      <c r="B35" s="5"/>
      <c r="C35" s="5"/>
      <c r="D35" s="5"/>
    </row>
    <row r="36" spans="1:13">
      <c r="A36" t="s">
        <v>98</v>
      </c>
      <c r="B36" t="s">
        <v>80</v>
      </c>
      <c r="C36">
        <f>'Data Table Input'!P5</f>
        <v>32.200000000000003</v>
      </c>
      <c r="D36" t="s">
        <v>81</v>
      </c>
    </row>
    <row r="39" spans="1:13">
      <c r="A39" s="17" t="s">
        <v>93</v>
      </c>
      <c r="B39" s="13"/>
      <c r="C39" s="13"/>
      <c r="D39" s="13"/>
      <c r="E39" s="16"/>
      <c r="F39" s="16"/>
      <c r="G39" s="16"/>
      <c r="H39" s="16"/>
    </row>
    <row r="40" spans="1:13">
      <c r="A40" s="13" t="s">
        <v>94</v>
      </c>
      <c r="B40" s="15">
        <f>'Data Table Input'!H25-'Data Table Input'!H26</f>
        <v>-7717.641020305131</v>
      </c>
      <c r="C40" s="13" t="str">
        <f>'Data Table Input'!H27</f>
        <v>Closed</v>
      </c>
      <c r="D40" s="13"/>
      <c r="E40" s="16"/>
      <c r="F40" s="16"/>
      <c r="G40" s="16"/>
      <c r="H40" s="16"/>
    </row>
    <row r="41" spans="1:13">
      <c r="A41" s="13" t="s">
        <v>124</v>
      </c>
      <c r="B41" s="14">
        <f>C27</f>
        <v>8.3333333333333329E-2</v>
      </c>
      <c r="C41" s="13" t="s">
        <v>37</v>
      </c>
      <c r="D41" s="13"/>
      <c r="E41" s="16"/>
      <c r="F41" s="16"/>
      <c r="G41" s="16"/>
      <c r="H41" s="16"/>
    </row>
    <row r="42" spans="1:13">
      <c r="A42" s="13" t="s">
        <v>88</v>
      </c>
      <c r="B42" s="13">
        <f>C17</f>
        <v>0.25</v>
      </c>
      <c r="C42" s="13" t="s">
        <v>37</v>
      </c>
      <c r="D42" s="13"/>
      <c r="E42" s="16"/>
      <c r="F42" s="16"/>
      <c r="G42" s="16"/>
      <c r="H42" s="16"/>
    </row>
    <row r="43" spans="1:13">
      <c r="A43" s="13" t="s">
        <v>96</v>
      </c>
      <c r="B43" s="13">
        <f>IF(B41&gt;B42,"Above Opening",C29)</f>
        <v>8.7178805822423946E-2</v>
      </c>
      <c r="C43" s="13" t="s">
        <v>99</v>
      </c>
      <c r="D43" s="13">
        <f>C29</f>
        <v>8.7178805822423946E-2</v>
      </c>
      <c r="E43" s="16" t="s">
        <v>122</v>
      </c>
      <c r="F43" s="16"/>
      <c r="G43" s="16"/>
      <c r="H43" s="16"/>
    </row>
    <row r="44" spans="1:13">
      <c r="A44" s="13" t="s">
        <v>97</v>
      </c>
      <c r="B44" s="13" t="str">
        <f>IF(B41&lt;B42,"Below Opening",L44*C20*(2*C36*C5)^0.5)</f>
        <v>Below Opening</v>
      </c>
      <c r="C44" s="13" t="s">
        <v>101</v>
      </c>
      <c r="D44" s="13">
        <f>L44*C20*(2*C36*C5)^0.5</f>
        <v>0.36755076845648066</v>
      </c>
      <c r="E44" s="16" t="s">
        <v>123</v>
      </c>
      <c r="F44" s="16"/>
      <c r="G44" s="16"/>
      <c r="H44" s="16"/>
      <c r="I44" s="16" t="s">
        <v>100</v>
      </c>
      <c r="J44" s="16"/>
      <c r="K44" s="16"/>
      <c r="L44" s="16">
        <f>'Data Table Input'!B19</f>
        <v>0.7</v>
      </c>
    </row>
    <row r="45" spans="1:13">
      <c r="A45" s="13"/>
      <c r="B45" s="13"/>
      <c r="C45" s="13"/>
      <c r="D45" s="13"/>
      <c r="E45" s="16"/>
      <c r="F45" s="16"/>
      <c r="G45" s="16"/>
      <c r="H45" s="16"/>
    </row>
    <row r="46" spans="1:13">
      <c r="A46" s="13" t="s">
        <v>53</v>
      </c>
      <c r="B46" s="13">
        <f>IF(B41&gt;C3,D59,IF(B40&lt;0,IF(B41&lt;B42,B43,B44),C29))</f>
        <v>8.7178805822423946E-2</v>
      </c>
      <c r="C46" s="13" t="s">
        <v>99</v>
      </c>
      <c r="D46" s="13"/>
      <c r="E46" s="16"/>
      <c r="F46" s="16"/>
      <c r="G46" s="16"/>
      <c r="H46" s="16"/>
    </row>
    <row r="47" spans="1:13">
      <c r="A47" s="13" t="s">
        <v>57</v>
      </c>
      <c r="B47" s="13">
        <f>IF(B46=0,0,IF(B56&gt;0,D59/B57,IF(B41&gt;B42,IF(B40&lt;0,B46/C20,B46/C12),B46/C12)))</f>
        <v>1.946406420894238</v>
      </c>
      <c r="C47" s="13" t="s">
        <v>59</v>
      </c>
      <c r="D47" s="13"/>
      <c r="E47" s="16"/>
      <c r="F47" s="16"/>
      <c r="G47" s="16"/>
      <c r="H47" s="16"/>
    </row>
    <row r="49" spans="1:12">
      <c r="A49" s="122" t="s">
        <v>119</v>
      </c>
      <c r="B49">
        <f>IF(B56&gt;0,B57,IF(B41&lt;B42,C12,IF(B40&lt;0,C20,C12)))</f>
        <v>4.4789620958181675E-2</v>
      </c>
    </row>
    <row r="50" spans="1:12">
      <c r="H50" s="44"/>
      <c r="I50" s="44"/>
      <c r="J50" s="44"/>
      <c r="K50" s="44"/>
    </row>
    <row r="51" spans="1:12" ht="18.75">
      <c r="A51" s="123"/>
      <c r="H51" s="45"/>
      <c r="I51" s="11"/>
      <c r="J51" s="11"/>
      <c r="K51" s="45"/>
    </row>
    <row r="52" spans="1:12">
      <c r="I52" s="45"/>
      <c r="J52" s="11"/>
      <c r="K52" s="11"/>
      <c r="L52" s="45"/>
    </row>
    <row r="53" spans="1:12">
      <c r="A53" s="54" t="s">
        <v>132</v>
      </c>
      <c r="B53" s="55"/>
      <c r="C53" s="55"/>
      <c r="D53" s="56"/>
      <c r="E53" s="11"/>
      <c r="F53" s="11"/>
      <c r="G53" s="46"/>
      <c r="I53" s="45"/>
      <c r="J53" s="11"/>
      <c r="K53" s="11"/>
      <c r="L53" s="45"/>
    </row>
    <row r="54" spans="1:12">
      <c r="A54" s="57" t="s">
        <v>63</v>
      </c>
      <c r="B54" s="58">
        <f>'Data Table Input'!D7</f>
        <v>1</v>
      </c>
      <c r="C54" s="55" t="s">
        <v>4</v>
      </c>
      <c r="D54" s="55"/>
      <c r="E54" s="11"/>
      <c r="F54" s="11"/>
      <c r="G54" s="46"/>
      <c r="I54" s="45"/>
      <c r="J54" s="11"/>
      <c r="K54" s="11"/>
      <c r="L54" s="45"/>
    </row>
    <row r="55" spans="1:12">
      <c r="A55" s="57"/>
      <c r="B55" s="58">
        <f>B54/12</f>
        <v>8.3333333333333329E-2</v>
      </c>
      <c r="C55" s="55" t="s">
        <v>5</v>
      </c>
      <c r="D55" s="55"/>
      <c r="E55" s="11"/>
      <c r="F55" s="11"/>
      <c r="G55" s="46"/>
      <c r="I55" s="45"/>
      <c r="J55" s="11"/>
      <c r="K55" s="11"/>
      <c r="L55" s="45"/>
    </row>
    <row r="56" spans="1:12">
      <c r="A56" s="57" t="s">
        <v>133</v>
      </c>
      <c r="B56" s="55">
        <f>IF(B54&lt;C3*12,0,"Over Channel")</f>
        <v>0</v>
      </c>
      <c r="C56" s="55" t="s">
        <v>4</v>
      </c>
      <c r="D56" s="55"/>
      <c r="E56" s="11"/>
      <c r="F56" s="11"/>
      <c r="G56" s="46"/>
      <c r="I56" s="45"/>
      <c r="J56" s="11"/>
      <c r="K56" s="11"/>
      <c r="L56" s="45"/>
    </row>
    <row r="57" spans="1:12">
      <c r="A57" s="57" t="s">
        <v>134</v>
      </c>
      <c r="B57" s="55">
        <f>IF(B40&lt;0,C20,C6)</f>
        <v>0.22665587698880485</v>
      </c>
      <c r="C57" s="55" t="s">
        <v>32</v>
      </c>
      <c r="D57" s="55" t="s">
        <v>136</v>
      </c>
      <c r="E57" s="11"/>
      <c r="F57" s="11"/>
      <c r="G57" s="46"/>
      <c r="I57" s="45"/>
      <c r="J57" s="11"/>
      <c r="K57" s="11"/>
      <c r="L57" s="45"/>
    </row>
    <row r="58" spans="1:12">
      <c r="A58" s="57"/>
      <c r="B58" s="55"/>
      <c r="C58" s="55"/>
      <c r="D58" s="55"/>
      <c r="E58" s="11"/>
      <c r="F58" s="11"/>
      <c r="G58" s="46"/>
      <c r="I58" s="45"/>
      <c r="J58" s="11"/>
      <c r="K58" s="11"/>
      <c r="L58" s="45"/>
    </row>
    <row r="59" spans="1:12">
      <c r="A59" s="59" t="s">
        <v>97</v>
      </c>
      <c r="B59" s="59">
        <f>IF(B56=0,0,"Above Channel")</f>
        <v>0</v>
      </c>
      <c r="C59" s="59" t="s">
        <v>101</v>
      </c>
      <c r="D59" s="59">
        <f>IF(B40&lt;0,D44,L59*B57*(2*C36*B55)^0.5)</f>
        <v>0.36755076845648066</v>
      </c>
      <c r="E59" s="16" t="s">
        <v>123</v>
      </c>
      <c r="F59" s="16"/>
      <c r="G59" s="16"/>
      <c r="H59" s="16"/>
      <c r="I59" s="16" t="s">
        <v>100</v>
      </c>
      <c r="J59" s="16"/>
      <c r="K59" s="16"/>
      <c r="L59" s="16">
        <f>'Data Table Input'!B19</f>
        <v>0.7</v>
      </c>
    </row>
    <row r="60" spans="1:12">
      <c r="A60" s="44"/>
      <c r="E60" s="11"/>
      <c r="F60" s="11"/>
      <c r="G60" s="46"/>
      <c r="I60" s="45"/>
      <c r="J60" s="11"/>
      <c r="K60" s="11"/>
      <c r="L60" s="45"/>
    </row>
    <row r="61" spans="1:12">
      <c r="A61" s="44"/>
      <c r="E61" s="11"/>
      <c r="F61" s="11"/>
      <c r="G61" s="46"/>
      <c r="I61" s="45"/>
      <c r="J61" s="11"/>
      <c r="K61" s="11"/>
      <c r="L61" s="45"/>
    </row>
    <row r="62" spans="1:12">
      <c r="A62" s="44"/>
      <c r="E62" s="11"/>
      <c r="F62" s="11"/>
      <c r="G62" s="46"/>
      <c r="I62" s="45"/>
      <c r="J62" s="11"/>
      <c r="K62" s="11"/>
      <c r="L62" s="45"/>
    </row>
    <row r="63" spans="1:12">
      <c r="A63" s="44"/>
      <c r="E63" s="11"/>
      <c r="F63" s="11"/>
      <c r="G63" s="46"/>
      <c r="I63" s="45"/>
      <c r="J63" s="11"/>
      <c r="K63" s="11"/>
      <c r="L63" s="45"/>
    </row>
    <row r="64" spans="1:12">
      <c r="A64" s="44"/>
      <c r="E64" s="11"/>
      <c r="F64" s="11"/>
      <c r="G64" s="46"/>
      <c r="I64" s="45"/>
      <c r="J64" s="11"/>
      <c r="K64" s="11"/>
      <c r="L64" s="45"/>
    </row>
    <row r="65" spans="1:12">
      <c r="A65" s="44"/>
      <c r="E65" s="11"/>
      <c r="F65" s="11"/>
      <c r="G65" s="46"/>
      <c r="I65" s="45"/>
      <c r="J65" s="11"/>
      <c r="K65" s="11"/>
      <c r="L65" s="45"/>
    </row>
    <row r="66" spans="1:12">
      <c r="A66" s="44"/>
      <c r="E66" s="11"/>
      <c r="F66" s="11"/>
      <c r="G66" s="46"/>
      <c r="I66" s="45"/>
      <c r="J66" s="11"/>
      <c r="K66" s="11"/>
      <c r="L66" s="45"/>
    </row>
    <row r="67" spans="1:12">
      <c r="A67" s="44"/>
      <c r="E67" s="11"/>
      <c r="F67" s="11"/>
      <c r="G67" s="46"/>
      <c r="I67" s="45"/>
      <c r="J67" s="11"/>
      <c r="K67" s="11"/>
      <c r="L67" s="45"/>
    </row>
    <row r="68" spans="1:12">
      <c r="A68" s="44"/>
      <c r="E68" s="11"/>
      <c r="F68" s="11"/>
      <c r="G68" s="46"/>
      <c r="I68" s="45"/>
      <c r="J68" s="11"/>
      <c r="K68" s="11"/>
      <c r="L68" s="45"/>
    </row>
    <row r="69" spans="1:12">
      <c r="A69" s="44"/>
      <c r="E69" s="11"/>
      <c r="F69" s="11"/>
      <c r="G69" s="46"/>
      <c r="I69" s="45"/>
      <c r="J69" s="11"/>
      <c r="K69" s="11"/>
      <c r="L69" s="45"/>
    </row>
    <row r="70" spans="1:12">
      <c r="A70" s="44"/>
      <c r="E70" s="11"/>
      <c r="F70" s="11"/>
      <c r="G70" s="46"/>
      <c r="I70" s="45"/>
      <c r="J70" s="11"/>
      <c r="K70" s="11"/>
      <c r="L70" s="45"/>
    </row>
    <row r="71" spans="1:12">
      <c r="A71" s="44"/>
      <c r="E71" s="11"/>
      <c r="F71" s="11"/>
      <c r="G71" s="46"/>
      <c r="I71" s="45"/>
      <c r="J71" s="11"/>
      <c r="K71" s="11"/>
      <c r="L71" s="45"/>
    </row>
    <row r="72" spans="1:12">
      <c r="A72" s="44"/>
      <c r="E72" s="11"/>
      <c r="F72" s="11"/>
      <c r="G72" s="46"/>
      <c r="I72" s="45"/>
      <c r="J72" s="11"/>
      <c r="K72" s="11"/>
      <c r="L72" s="45"/>
    </row>
    <row r="73" spans="1:12">
      <c r="A73" s="44"/>
      <c r="E73" s="11"/>
      <c r="F73" s="11"/>
      <c r="G73" s="46"/>
      <c r="I73" s="45"/>
      <c r="J73" s="11"/>
      <c r="K73" s="11"/>
      <c r="L73" s="45"/>
    </row>
    <row r="74" spans="1:12">
      <c r="A74" s="44"/>
      <c r="E74" s="11"/>
      <c r="F74" s="11"/>
      <c r="G74" s="46"/>
      <c r="I74" s="45"/>
      <c r="J74" s="11"/>
      <c r="K74" s="11"/>
      <c r="L74" s="45"/>
    </row>
    <row r="75" spans="1:12">
      <c r="A75" s="44"/>
      <c r="E75" s="11"/>
      <c r="F75" s="11"/>
      <c r="G75" s="46"/>
      <c r="I75" s="45"/>
      <c r="J75" s="11"/>
      <c r="K75" s="11"/>
      <c r="L75" s="45"/>
    </row>
    <row r="76" spans="1:12">
      <c r="A76" s="44"/>
      <c r="E76" s="11"/>
      <c r="F76" s="11"/>
      <c r="G76" s="46"/>
      <c r="I76" s="45"/>
      <c r="J76" s="11"/>
      <c r="K76" s="11"/>
      <c r="L76" s="45"/>
    </row>
    <row r="77" spans="1:12">
      <c r="A77" s="44"/>
      <c r="E77" s="11"/>
      <c r="F77" s="11"/>
      <c r="G77" s="46"/>
      <c r="I77" s="45"/>
      <c r="J77" s="11"/>
      <c r="K77" s="11"/>
      <c r="L77" s="45"/>
    </row>
    <row r="78" spans="1:12">
      <c r="A78" s="44"/>
      <c r="E78" s="11"/>
      <c r="F78" s="11"/>
      <c r="G78" s="46"/>
      <c r="I78" s="45"/>
      <c r="J78" s="11"/>
      <c r="K78" s="11"/>
      <c r="L78" s="45"/>
    </row>
    <row r="79" spans="1:12">
      <c r="A79" s="44"/>
      <c r="E79" s="11"/>
      <c r="F79" s="11"/>
      <c r="G79" s="46"/>
      <c r="I79" s="45"/>
      <c r="J79" s="11"/>
      <c r="K79" s="11"/>
      <c r="L79" s="45"/>
    </row>
    <row r="80" spans="1:12">
      <c r="A80" s="44"/>
      <c r="E80" s="11"/>
      <c r="F80" s="11"/>
      <c r="G80" s="46"/>
      <c r="I80" s="45"/>
      <c r="J80" s="11"/>
      <c r="K80" s="11"/>
      <c r="L80" s="45"/>
    </row>
    <row r="81" spans="1:12">
      <c r="A81" s="44"/>
      <c r="E81" s="11"/>
      <c r="F81" s="11"/>
      <c r="G81" s="46"/>
      <c r="I81" s="45"/>
      <c r="J81" s="11"/>
      <c r="K81" s="11"/>
      <c r="L81" s="45"/>
    </row>
    <row r="82" spans="1:12">
      <c r="A82" s="44"/>
      <c r="E82" s="11"/>
      <c r="F82" s="11"/>
      <c r="G82" s="46"/>
      <c r="I82" s="45"/>
      <c r="J82" s="11"/>
      <c r="K82" s="11"/>
      <c r="L82" s="45"/>
    </row>
    <row r="83" spans="1:12">
      <c r="A83" s="44"/>
      <c r="E83" s="11"/>
      <c r="F83" s="11"/>
      <c r="G83" s="46"/>
      <c r="I83" s="45"/>
      <c r="J83" s="11"/>
      <c r="K83" s="11"/>
      <c r="L83" s="45"/>
    </row>
    <row r="84" spans="1:12">
      <c r="A84" s="44"/>
      <c r="E84" s="11"/>
      <c r="F84" s="11"/>
      <c r="G84" s="46"/>
      <c r="I84" s="45"/>
      <c r="J84" s="11"/>
      <c r="K84" s="11"/>
      <c r="L84" s="45"/>
    </row>
    <row r="85" spans="1:12">
      <c r="A85" s="44"/>
      <c r="E85" s="11"/>
      <c r="F85" s="11"/>
      <c r="G85" s="46"/>
      <c r="I85" s="45"/>
      <c r="J85" s="11"/>
      <c r="K85" s="11"/>
      <c r="L85" s="45"/>
    </row>
    <row r="86" spans="1:12">
      <c r="A86" s="44"/>
      <c r="E86" s="11"/>
      <c r="F86" s="11"/>
      <c r="G86" s="46"/>
      <c r="I86" s="45"/>
      <c r="J86" s="11"/>
      <c r="K86" s="11"/>
      <c r="L86" s="45"/>
    </row>
    <row r="87" spans="1:12">
      <c r="A87" s="44"/>
      <c r="E87" s="11"/>
      <c r="F87" s="11"/>
      <c r="G87" s="46"/>
    </row>
    <row r="88" spans="1:12">
      <c r="A88" s="44"/>
      <c r="E88" s="11"/>
      <c r="F88" s="11"/>
      <c r="G88" s="46"/>
    </row>
    <row r="89" spans="1:12">
      <c r="A89" s="44"/>
      <c r="E89" s="11"/>
      <c r="F89" s="11"/>
      <c r="G89" s="46"/>
    </row>
    <row r="90" spans="1:12">
      <c r="A90" s="44"/>
      <c r="E90" s="11"/>
      <c r="F90" s="11"/>
      <c r="G90" s="46"/>
    </row>
    <row r="91" spans="1:12">
      <c r="A91" s="44"/>
      <c r="E91" s="11"/>
      <c r="F91" s="11"/>
      <c r="G91" s="46"/>
    </row>
  </sheetData>
  <customSheetViews>
    <customSheetView guid="{C8C28A16-3CAD-4F54-A986-B4BB76010774}" showPageBreaks="1" topLeftCell="A31">
      <selection activeCell="C17" sqref="C17"/>
      <pageMargins left="0.7" right="0.7" top="0.75" bottom="0.75" header="0.3" footer="0.3"/>
      <pageSetup orientation="portrait" r:id="rId1"/>
    </customSheetView>
    <customSheetView guid="{69D25061-22BB-4069-9A58-30FF41B45BB4}" showPageBreaks="1" state="hidden" topLeftCell="A31">
      <selection activeCell="C17" sqref="C17"/>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641C-0855-4083-90B2-A2E276E20978}">
  <sheetPr codeName="Sheet12"/>
  <dimension ref="A3:M274"/>
  <sheetViews>
    <sheetView topLeftCell="B12" zoomScaleNormal="100" workbookViewId="0">
      <selection activeCell="C17" sqref="C17"/>
    </sheetView>
  </sheetViews>
  <sheetFormatPr defaultRowHeight="15"/>
  <cols>
    <col min="1" max="1" width="20.5703125" bestFit="1" customWidth="1"/>
    <col min="2" max="2" width="13.5703125" bestFit="1" customWidth="1"/>
    <col min="3" max="3" width="16.42578125" bestFit="1" customWidth="1"/>
    <col min="4" max="4" width="12" bestFit="1" customWidth="1"/>
    <col min="9" max="9" width="12.85546875" customWidth="1"/>
  </cols>
  <sheetData>
    <row r="3" spans="1:4">
      <c r="A3" s="5" t="s">
        <v>17</v>
      </c>
      <c r="B3" s="5" t="s">
        <v>18</v>
      </c>
      <c r="C3" s="5">
        <f>'Data Table Input'!D4/12</f>
        <v>2</v>
      </c>
      <c r="D3" s="5" t="s">
        <v>5</v>
      </c>
    </row>
    <row r="4" spans="1:4">
      <c r="A4" s="5" t="s">
        <v>20</v>
      </c>
      <c r="B4" s="5" t="s">
        <v>21</v>
      </c>
      <c r="C4" s="5">
        <f>C3/2</f>
        <v>1</v>
      </c>
      <c r="D4" s="5" t="s">
        <v>5</v>
      </c>
    </row>
    <row r="5" spans="1:4">
      <c r="A5" s="5" t="s">
        <v>22</v>
      </c>
      <c r="B5" s="5" t="s">
        <v>131</v>
      </c>
      <c r="C5" s="5">
        <v>1</v>
      </c>
      <c r="D5" s="5" t="s">
        <v>4</v>
      </c>
    </row>
    <row r="6" spans="1:4">
      <c r="A6" s="5" t="s">
        <v>22</v>
      </c>
      <c r="B6" s="5" t="s">
        <v>23</v>
      </c>
      <c r="C6" s="5">
        <f>C5/12</f>
        <v>8.3333333333333329E-2</v>
      </c>
      <c r="D6" s="5" t="s">
        <v>5</v>
      </c>
    </row>
    <row r="7" spans="1:4">
      <c r="A7" s="5" t="s">
        <v>192</v>
      </c>
      <c r="B7" s="5"/>
      <c r="C7" s="124">
        <f>'Data Table Input'!D6</f>
        <v>240</v>
      </c>
      <c r="D7" s="5" t="s">
        <v>4</v>
      </c>
    </row>
    <row r="8" spans="1:4">
      <c r="A8" s="5" t="s">
        <v>25</v>
      </c>
      <c r="B8" s="5" t="s">
        <v>26</v>
      </c>
      <c r="C8" s="5">
        <f>IF(C6&lt;C4,C6,2*C4-C6)</f>
        <v>8.3333333333333329E-2</v>
      </c>
      <c r="D8" s="5" t="s">
        <v>5</v>
      </c>
    </row>
    <row r="9" spans="1:4">
      <c r="A9" s="5" t="s">
        <v>27</v>
      </c>
      <c r="B9" s="6" t="s">
        <v>28</v>
      </c>
      <c r="C9" s="5">
        <f>2*ACOS((C4-C8)/C4)</f>
        <v>0.82227572464469567</v>
      </c>
      <c r="D9" s="5" t="s">
        <v>29</v>
      </c>
    </row>
    <row r="10" spans="1:4">
      <c r="A10" s="5"/>
      <c r="B10" s="5"/>
      <c r="C10" s="5">
        <f>C9*180/PI()</f>
        <v>47.112928618202481</v>
      </c>
      <c r="D10" s="5" t="s">
        <v>9</v>
      </c>
    </row>
    <row r="11" spans="1:4">
      <c r="A11" s="5" t="s">
        <v>30</v>
      </c>
      <c r="B11" s="5" t="s">
        <v>31</v>
      </c>
      <c r="C11" s="5">
        <f>C4^2*(C9-SIN(C9))/2</f>
        <v>4.4789620958181675E-2</v>
      </c>
      <c r="D11" s="5" t="s">
        <v>32</v>
      </c>
    </row>
    <row r="12" spans="1:4">
      <c r="A12" s="5" t="s">
        <v>35</v>
      </c>
      <c r="B12" s="5" t="s">
        <v>36</v>
      </c>
      <c r="C12" s="5">
        <f>C4*C9</f>
        <v>0.82227572464469567</v>
      </c>
      <c r="D12" s="5" t="s">
        <v>37</v>
      </c>
    </row>
    <row r="13" spans="1:4">
      <c r="A13" s="5" t="s">
        <v>38</v>
      </c>
      <c r="B13" s="5" t="s">
        <v>33</v>
      </c>
      <c r="C13" s="5">
        <f>IF(C6&lt;C4,C11,PI()*C4^2-C11)</f>
        <v>4.4789620958181675E-2</v>
      </c>
      <c r="D13" s="5" t="s">
        <v>32</v>
      </c>
    </row>
    <row r="14" spans="1:4">
      <c r="A14" s="5" t="s">
        <v>39</v>
      </c>
      <c r="B14" s="5" t="s">
        <v>40</v>
      </c>
      <c r="C14" s="5">
        <f>IF(C6&lt;C4,C12,2*PI()*C4-C12)</f>
        <v>0.82227572464469567</v>
      </c>
      <c r="D14" s="5" t="s">
        <v>37</v>
      </c>
    </row>
    <row r="15" spans="1:4" ht="18">
      <c r="A15" s="5" t="s">
        <v>42</v>
      </c>
      <c r="B15" s="5" t="s">
        <v>43</v>
      </c>
      <c r="C15" s="5">
        <f>IF(C6=0,0,C13/C14)</f>
        <v>5.4470318915878509E-2</v>
      </c>
      <c r="D15" s="5" t="s">
        <v>37</v>
      </c>
    </row>
    <row r="18" spans="1:13">
      <c r="A18" s="5" t="s">
        <v>49</v>
      </c>
      <c r="B18" s="5" t="s">
        <v>36</v>
      </c>
      <c r="C18" s="43">
        <f>'Data Table Input'!D8</f>
        <v>0.01</v>
      </c>
      <c r="D18" s="5" t="s">
        <v>50</v>
      </c>
    </row>
    <row r="19" spans="1:13">
      <c r="A19" s="5"/>
      <c r="B19" s="5"/>
      <c r="C19" s="8">
        <f>C18</f>
        <v>0.01</v>
      </c>
      <c r="D19" s="5" t="s">
        <v>51</v>
      </c>
    </row>
    <row r="20" spans="1:13">
      <c r="A20" s="5" t="s">
        <v>52</v>
      </c>
      <c r="B20" s="5" t="s">
        <v>16</v>
      </c>
      <c r="C20" s="5">
        <f>'Data Table Input'!D10</f>
        <v>1.0999999999999999E-2</v>
      </c>
      <c r="D20" s="5"/>
    </row>
    <row r="21" spans="1:13">
      <c r="A21" s="5"/>
      <c r="B21" s="5"/>
      <c r="C21" s="5"/>
      <c r="D21" s="5"/>
    </row>
    <row r="22" spans="1:13">
      <c r="A22" s="5" t="s">
        <v>22</v>
      </c>
      <c r="B22" s="5" t="s">
        <v>23</v>
      </c>
      <c r="C22" s="5">
        <f>C6</f>
        <v>8.3333333333333329E-2</v>
      </c>
      <c r="D22" s="5" t="s">
        <v>5</v>
      </c>
    </row>
    <row r="23" spans="1:13">
      <c r="A23" s="5"/>
      <c r="B23" s="5"/>
      <c r="C23" s="5"/>
      <c r="D23" s="5"/>
      <c r="K23" s="7" t="s">
        <v>44</v>
      </c>
    </row>
    <row r="24" spans="1:13">
      <c r="A24" s="5" t="s">
        <v>53</v>
      </c>
      <c r="B24" s="5" t="s">
        <v>54</v>
      </c>
      <c r="C24" s="5">
        <f>(1.49/C20)*C13*(C15)^(2/3)*(C19^0.5)</f>
        <v>8.7178805822423946E-2</v>
      </c>
      <c r="D24" s="5" t="s">
        <v>55</v>
      </c>
    </row>
    <row r="25" spans="1:13">
      <c r="A25" s="5"/>
      <c r="B25" s="5"/>
      <c r="C25" s="5">
        <f>C24*7.48*60</f>
        <v>39.125848053103866</v>
      </c>
      <c r="D25" s="5" t="s">
        <v>56</v>
      </c>
      <c r="K25" t="s">
        <v>46</v>
      </c>
      <c r="L25">
        <v>72</v>
      </c>
      <c r="M25" t="s">
        <v>4</v>
      </c>
    </row>
    <row r="26" spans="1:13">
      <c r="A26" s="5"/>
      <c r="B26" s="5"/>
      <c r="C26" s="5"/>
      <c r="D26" s="5"/>
      <c r="K26" t="s">
        <v>47</v>
      </c>
      <c r="L26">
        <v>6</v>
      </c>
      <c r="M26" t="s">
        <v>4</v>
      </c>
    </row>
    <row r="27" spans="1:13">
      <c r="A27" s="5" t="s">
        <v>57</v>
      </c>
      <c r="B27" s="5" t="s">
        <v>58</v>
      </c>
      <c r="C27" s="5">
        <f>IF(C24=0,0,C24/C13)</f>
        <v>1.946406420894238</v>
      </c>
      <c r="D27" s="5" t="s">
        <v>59</v>
      </c>
      <c r="K27" t="s">
        <v>48</v>
      </c>
      <c r="L27">
        <f>(L25^2-(L26/2)^2)^0.5</f>
        <v>71.937472849690792</v>
      </c>
      <c r="M27" t="s">
        <v>4</v>
      </c>
    </row>
    <row r="28" spans="1:13">
      <c r="A28" s="5"/>
      <c r="B28" s="5"/>
      <c r="C28" s="5"/>
      <c r="D28" s="5"/>
      <c r="K28" t="s">
        <v>47</v>
      </c>
      <c r="L28">
        <f>180-2*ASIN(L27/L25)*180/PI()</f>
        <v>4.7760309265376861</v>
      </c>
      <c r="M28" t="s">
        <v>9</v>
      </c>
    </row>
    <row r="29" spans="1:13">
      <c r="A29" s="5"/>
      <c r="B29" s="5"/>
      <c r="C29" s="5"/>
      <c r="D29" s="5"/>
    </row>
    <row r="30" spans="1:13">
      <c r="A30" s="5"/>
      <c r="B30" s="5"/>
      <c r="C30" s="5"/>
      <c r="D30" s="5"/>
    </row>
    <row r="31" spans="1:13">
      <c r="A31" t="s">
        <v>98</v>
      </c>
      <c r="B31" t="s">
        <v>80</v>
      </c>
      <c r="C31">
        <f>'Data Table Input'!P5</f>
        <v>32.200000000000003</v>
      </c>
      <c r="D31" t="s">
        <v>81</v>
      </c>
    </row>
    <row r="33" spans="1:11" ht="18.75">
      <c r="A33" s="123" t="s">
        <v>127</v>
      </c>
    </row>
    <row r="34" spans="1:11" ht="45">
      <c r="A34" s="53" t="s">
        <v>128</v>
      </c>
      <c r="B34" s="53" t="s">
        <v>129</v>
      </c>
      <c r="C34" s="53" t="s">
        <v>130</v>
      </c>
      <c r="D34" s="53" t="s">
        <v>126</v>
      </c>
      <c r="E34" s="53" t="str">
        <f>A8</f>
        <v>circular segment height</v>
      </c>
      <c r="F34" s="53" t="str">
        <f>A9</f>
        <v>central angle</v>
      </c>
      <c r="G34" s="53" t="str">
        <f>A11</f>
        <v>circular segment area</v>
      </c>
      <c r="H34" s="53" t="str">
        <f>A12</f>
        <v>arc length</v>
      </c>
      <c r="I34" s="53" t="str">
        <f>A13</f>
        <v>flow area</v>
      </c>
      <c r="J34" s="53" t="str">
        <f>A14</f>
        <v>wetted perimeter</v>
      </c>
      <c r="K34" s="53" t="str">
        <f>A15</f>
        <v>hydraulic radius</v>
      </c>
    </row>
    <row r="35" spans="1:11">
      <c r="A35" s="141" t="e" cm="1">
        <f t="array" aca="1" ref="A35:A70" ca="1">_xlfn.SEQUENCE(C3*12,1,1,1)</f>
        <v>#NAME?</v>
      </c>
      <c r="B35" s="141">
        <f>C24</f>
        <v>8.7178805822423946E-2</v>
      </c>
      <c r="C35" s="141">
        <f>C27</f>
        <v>1.946406420894238</v>
      </c>
      <c r="D35" s="141" t="e">
        <f t="shared" ref="D35" ca="1" si="0">A35/12</f>
        <v>#NAME?</v>
      </c>
      <c r="E35" s="141">
        <f>C8</f>
        <v>8.3333333333333329E-2</v>
      </c>
      <c r="F35" s="141">
        <f>C10</f>
        <v>47.112928618202481</v>
      </c>
      <c r="G35" s="141">
        <f>C11</f>
        <v>4.4789620958181675E-2</v>
      </c>
      <c r="H35" s="141">
        <f>C12</f>
        <v>0.82227572464469567</v>
      </c>
      <c r="I35" s="141">
        <f>C13</f>
        <v>4.4789620958181675E-2</v>
      </c>
      <c r="J35" s="141">
        <f>C14</f>
        <v>0.82227572464469567</v>
      </c>
      <c r="K35" s="141">
        <f>C15</f>
        <v>5.4470318915878509E-2</v>
      </c>
    </row>
    <row r="36" spans="1:11">
      <c r="A36" s="141" t="e">
        <f ca="1"/>
        <v>#NAME?</v>
      </c>
      <c r="B36" s="141" t="e">
        <f t="dataTable" ref="B36:K274" dt2D="0" dtr="0" r1="C5" ca="1"/>
        <v>#NAME?</v>
      </c>
      <c r="C36" s="141" t="e">
        <v>#NAME?</v>
      </c>
      <c r="D36" s="141" t="e">
        <v>#NAME?</v>
      </c>
      <c r="E36" s="141" t="e">
        <v>#NAME?</v>
      </c>
      <c r="F36" s="141" t="e">
        <v>#NAME?</v>
      </c>
      <c r="G36" s="141" t="e">
        <v>#NAME?</v>
      </c>
      <c r="H36" s="141" t="e">
        <v>#NAME?</v>
      </c>
      <c r="I36" s="141" t="e">
        <v>#NAME?</v>
      </c>
      <c r="J36" s="141" t="e">
        <v>#NAME?</v>
      </c>
      <c r="K36" s="141" t="e">
        <v>#NAME?</v>
      </c>
    </row>
    <row r="37" spans="1:11">
      <c r="A37" s="141" t="e">
        <f ca="1"/>
        <v>#NAME?</v>
      </c>
      <c r="B37" s="141" t="e">
        <v>#NAME?</v>
      </c>
      <c r="C37" s="141" t="e">
        <v>#NAME?</v>
      </c>
      <c r="D37" s="141" t="e">
        <v>#NAME?</v>
      </c>
      <c r="E37" s="141" t="e">
        <v>#NAME?</v>
      </c>
      <c r="F37" s="141" t="e">
        <v>#NAME?</v>
      </c>
      <c r="G37" s="141" t="e">
        <v>#NAME?</v>
      </c>
      <c r="H37" s="141" t="e">
        <v>#NAME?</v>
      </c>
      <c r="I37" s="141" t="e">
        <v>#NAME?</v>
      </c>
      <c r="J37" s="141" t="e">
        <v>#NAME?</v>
      </c>
      <c r="K37" s="141" t="e">
        <v>#NAME?</v>
      </c>
    </row>
    <row r="38" spans="1:11">
      <c r="A38" s="141" t="e">
        <f ca="1"/>
        <v>#NAME?</v>
      </c>
      <c r="B38" s="141" t="e">
        <v>#NAME?</v>
      </c>
      <c r="C38" s="141" t="e">
        <v>#NAME?</v>
      </c>
      <c r="D38" s="141" t="e">
        <v>#NAME?</v>
      </c>
      <c r="E38" s="141" t="e">
        <v>#NAME?</v>
      </c>
      <c r="F38" s="141" t="e">
        <v>#NAME?</v>
      </c>
      <c r="G38" s="141" t="e">
        <v>#NAME?</v>
      </c>
      <c r="H38" s="141" t="e">
        <v>#NAME?</v>
      </c>
      <c r="I38" s="141" t="e">
        <v>#NAME?</v>
      </c>
      <c r="J38" s="141" t="e">
        <v>#NAME?</v>
      </c>
      <c r="K38" s="141" t="e">
        <v>#NAME?</v>
      </c>
    </row>
    <row r="39" spans="1:11">
      <c r="A39" s="141" t="e">
        <f ca="1"/>
        <v>#NAME?</v>
      </c>
      <c r="B39" s="141" t="e">
        <v>#NAME?</v>
      </c>
      <c r="C39" s="141" t="e">
        <v>#NAME?</v>
      </c>
      <c r="D39" s="141" t="e">
        <v>#NAME?</v>
      </c>
      <c r="E39" s="141" t="e">
        <v>#NAME?</v>
      </c>
      <c r="F39" s="141" t="e">
        <v>#NAME?</v>
      </c>
      <c r="G39" s="141" t="e">
        <v>#NAME?</v>
      </c>
      <c r="H39" s="141" t="e">
        <v>#NAME?</v>
      </c>
      <c r="I39" s="141" t="e">
        <v>#NAME?</v>
      </c>
      <c r="J39" s="141" t="e">
        <v>#NAME?</v>
      </c>
      <c r="K39" s="141" t="e">
        <v>#NAME?</v>
      </c>
    </row>
    <row r="40" spans="1:11">
      <c r="A40" s="141" t="e">
        <f ca="1"/>
        <v>#NAME?</v>
      </c>
      <c r="B40" s="141" t="e">
        <v>#NAME?</v>
      </c>
      <c r="C40" s="141" t="e">
        <v>#NAME?</v>
      </c>
      <c r="D40" s="141" t="e">
        <v>#NAME?</v>
      </c>
      <c r="E40" s="141" t="e">
        <v>#NAME?</v>
      </c>
      <c r="F40" s="141" t="e">
        <v>#NAME?</v>
      </c>
      <c r="G40" s="141" t="e">
        <v>#NAME?</v>
      </c>
      <c r="H40" s="141" t="e">
        <v>#NAME?</v>
      </c>
      <c r="I40" s="141" t="e">
        <v>#NAME?</v>
      </c>
      <c r="J40" s="141" t="e">
        <v>#NAME?</v>
      </c>
      <c r="K40" s="141" t="e">
        <v>#NAME?</v>
      </c>
    </row>
    <row r="41" spans="1:11">
      <c r="A41" s="141" t="e">
        <f ca="1"/>
        <v>#NAME?</v>
      </c>
      <c r="B41" s="141" t="e">
        <v>#NAME?</v>
      </c>
      <c r="C41" s="141" t="e">
        <v>#NAME?</v>
      </c>
      <c r="D41" s="141" t="e">
        <v>#NAME?</v>
      </c>
      <c r="E41" s="141" t="e">
        <v>#NAME?</v>
      </c>
      <c r="F41" s="141" t="e">
        <v>#NAME?</v>
      </c>
      <c r="G41" s="141" t="e">
        <v>#NAME?</v>
      </c>
      <c r="H41" s="141" t="e">
        <v>#NAME?</v>
      </c>
      <c r="I41" s="141" t="e">
        <v>#NAME?</v>
      </c>
      <c r="J41" s="141" t="e">
        <v>#NAME?</v>
      </c>
      <c r="K41" s="141" t="e">
        <v>#NAME?</v>
      </c>
    </row>
    <row r="42" spans="1:11">
      <c r="A42" s="141" t="e">
        <f ca="1"/>
        <v>#NAME?</v>
      </c>
      <c r="B42" s="141" t="e">
        <v>#NAME?</v>
      </c>
      <c r="C42" s="141" t="e">
        <v>#NAME?</v>
      </c>
      <c r="D42" s="141" t="e">
        <v>#NAME?</v>
      </c>
      <c r="E42" s="141" t="e">
        <v>#NAME?</v>
      </c>
      <c r="F42" s="141" t="e">
        <v>#NAME?</v>
      </c>
      <c r="G42" s="141" t="e">
        <v>#NAME?</v>
      </c>
      <c r="H42" s="141" t="e">
        <v>#NAME?</v>
      </c>
      <c r="I42" s="141" t="e">
        <v>#NAME?</v>
      </c>
      <c r="J42" s="141" t="e">
        <v>#NAME?</v>
      </c>
      <c r="K42" s="141" t="e">
        <v>#NAME?</v>
      </c>
    </row>
    <row r="43" spans="1:11">
      <c r="A43" s="141" t="e">
        <f ca="1"/>
        <v>#NAME?</v>
      </c>
      <c r="B43" s="141" t="e">
        <v>#NAME?</v>
      </c>
      <c r="C43" s="141" t="e">
        <v>#NAME?</v>
      </c>
      <c r="D43" s="141" t="e">
        <v>#NAME?</v>
      </c>
      <c r="E43" s="141" t="e">
        <v>#NAME?</v>
      </c>
      <c r="F43" s="141" t="e">
        <v>#NAME?</v>
      </c>
      <c r="G43" s="141" t="e">
        <v>#NAME?</v>
      </c>
      <c r="H43" s="141" t="e">
        <v>#NAME?</v>
      </c>
      <c r="I43" s="141" t="e">
        <v>#NAME?</v>
      </c>
      <c r="J43" s="141" t="e">
        <v>#NAME?</v>
      </c>
      <c r="K43" s="141" t="e">
        <v>#NAME?</v>
      </c>
    </row>
    <row r="44" spans="1:11">
      <c r="A44" s="141" t="e">
        <f ca="1"/>
        <v>#NAME?</v>
      </c>
      <c r="B44" s="141" t="e">
        <v>#NAME?</v>
      </c>
      <c r="C44" s="141" t="e">
        <v>#NAME?</v>
      </c>
      <c r="D44" s="141" t="e">
        <v>#NAME?</v>
      </c>
      <c r="E44" s="141" t="e">
        <v>#NAME?</v>
      </c>
      <c r="F44" s="141" t="e">
        <v>#NAME?</v>
      </c>
      <c r="G44" s="141" t="e">
        <v>#NAME?</v>
      </c>
      <c r="H44" s="141" t="e">
        <v>#NAME?</v>
      </c>
      <c r="I44" s="141" t="e">
        <v>#NAME?</v>
      </c>
      <c r="J44" s="141" t="e">
        <v>#NAME?</v>
      </c>
      <c r="K44" s="141" t="e">
        <v>#NAME?</v>
      </c>
    </row>
    <row r="45" spans="1:11">
      <c r="A45" s="141" t="e">
        <f ca="1"/>
        <v>#NAME?</v>
      </c>
      <c r="B45" s="141" t="e">
        <v>#NAME?</v>
      </c>
      <c r="C45" s="141" t="e">
        <v>#NAME?</v>
      </c>
      <c r="D45" s="141" t="e">
        <v>#NAME?</v>
      </c>
      <c r="E45" s="141" t="e">
        <v>#NAME?</v>
      </c>
      <c r="F45" s="141" t="e">
        <v>#NAME?</v>
      </c>
      <c r="G45" s="141" t="e">
        <v>#NAME?</v>
      </c>
      <c r="H45" s="141" t="e">
        <v>#NAME?</v>
      </c>
      <c r="I45" s="141" t="e">
        <v>#NAME?</v>
      </c>
      <c r="J45" s="141" t="e">
        <v>#NAME?</v>
      </c>
      <c r="K45" s="141" t="e">
        <v>#NAME?</v>
      </c>
    </row>
    <row r="46" spans="1:11">
      <c r="A46" s="141" t="e">
        <f ca="1"/>
        <v>#NAME?</v>
      </c>
      <c r="B46" s="141" t="e">
        <v>#NAME?</v>
      </c>
      <c r="C46" s="141" t="e">
        <v>#NAME?</v>
      </c>
      <c r="D46" s="141" t="e">
        <v>#NAME?</v>
      </c>
      <c r="E46" s="141" t="e">
        <v>#NAME?</v>
      </c>
      <c r="F46" s="141" t="e">
        <v>#NAME?</v>
      </c>
      <c r="G46" s="141" t="e">
        <v>#NAME?</v>
      </c>
      <c r="H46" s="141" t="e">
        <v>#NAME?</v>
      </c>
      <c r="I46" s="141" t="e">
        <v>#NAME?</v>
      </c>
      <c r="J46" s="141" t="e">
        <v>#NAME?</v>
      </c>
      <c r="K46" s="141" t="e">
        <v>#NAME?</v>
      </c>
    </row>
    <row r="47" spans="1:11">
      <c r="A47" s="141" t="e">
        <f ca="1"/>
        <v>#NAME?</v>
      </c>
      <c r="B47" s="141" t="e">
        <v>#NAME?</v>
      </c>
      <c r="C47" s="141" t="e">
        <v>#NAME?</v>
      </c>
      <c r="D47" s="141" t="e">
        <v>#NAME?</v>
      </c>
      <c r="E47" s="141" t="e">
        <v>#NAME?</v>
      </c>
      <c r="F47" s="141" t="e">
        <v>#NAME?</v>
      </c>
      <c r="G47" s="141" t="e">
        <v>#NAME?</v>
      </c>
      <c r="H47" s="141" t="e">
        <v>#NAME?</v>
      </c>
      <c r="I47" s="141" t="e">
        <v>#NAME?</v>
      </c>
      <c r="J47" s="141" t="e">
        <v>#NAME?</v>
      </c>
      <c r="K47" s="141" t="e">
        <v>#NAME?</v>
      </c>
    </row>
    <row r="48" spans="1:11">
      <c r="A48" s="141" t="e">
        <f ca="1"/>
        <v>#NAME?</v>
      </c>
      <c r="B48" s="141" t="e">
        <v>#NAME?</v>
      </c>
      <c r="C48" s="141" t="e">
        <v>#NAME?</v>
      </c>
      <c r="D48" s="141" t="e">
        <v>#NAME?</v>
      </c>
      <c r="E48" s="141" t="e">
        <v>#NAME?</v>
      </c>
      <c r="F48" s="141" t="e">
        <v>#NAME?</v>
      </c>
      <c r="G48" s="141" t="e">
        <v>#NAME?</v>
      </c>
      <c r="H48" s="141" t="e">
        <v>#NAME?</v>
      </c>
      <c r="I48" s="141" t="e">
        <v>#NAME?</v>
      </c>
      <c r="J48" s="141" t="e">
        <v>#NAME?</v>
      </c>
      <c r="K48" s="141" t="e">
        <v>#NAME?</v>
      </c>
    </row>
    <row r="49" spans="1:11">
      <c r="A49" s="141" t="e">
        <f ca="1"/>
        <v>#NAME?</v>
      </c>
      <c r="B49" s="141" t="e">
        <v>#NAME?</v>
      </c>
      <c r="C49" s="141" t="e">
        <v>#NAME?</v>
      </c>
      <c r="D49" s="141" t="e">
        <v>#NAME?</v>
      </c>
      <c r="E49" s="141" t="e">
        <v>#NAME?</v>
      </c>
      <c r="F49" s="141" t="e">
        <v>#NAME?</v>
      </c>
      <c r="G49" s="141" t="e">
        <v>#NAME?</v>
      </c>
      <c r="H49" s="141" t="e">
        <v>#NAME?</v>
      </c>
      <c r="I49" s="141" t="e">
        <v>#NAME?</v>
      </c>
      <c r="J49" s="141" t="e">
        <v>#NAME?</v>
      </c>
      <c r="K49" s="141" t="e">
        <v>#NAME?</v>
      </c>
    </row>
    <row r="50" spans="1:11">
      <c r="A50" s="141" t="e">
        <f ca="1"/>
        <v>#NAME?</v>
      </c>
      <c r="B50" s="141" t="e">
        <v>#NAME?</v>
      </c>
      <c r="C50" s="141" t="e">
        <v>#NAME?</v>
      </c>
      <c r="D50" s="141" t="e">
        <v>#NAME?</v>
      </c>
      <c r="E50" s="141" t="e">
        <v>#NAME?</v>
      </c>
      <c r="F50" s="141" t="e">
        <v>#NAME?</v>
      </c>
      <c r="G50" s="141" t="e">
        <v>#NAME?</v>
      </c>
      <c r="H50" s="141" t="e">
        <v>#NAME?</v>
      </c>
      <c r="I50" s="141" t="e">
        <v>#NAME?</v>
      </c>
      <c r="J50" s="141" t="e">
        <v>#NAME?</v>
      </c>
      <c r="K50" s="141" t="e">
        <v>#NAME?</v>
      </c>
    </row>
    <row r="51" spans="1:11">
      <c r="A51" s="141" t="e">
        <f ca="1"/>
        <v>#NAME?</v>
      </c>
      <c r="B51" s="141" t="e">
        <v>#NAME?</v>
      </c>
      <c r="C51" s="141" t="e">
        <v>#NAME?</v>
      </c>
      <c r="D51" s="141" t="e">
        <v>#NAME?</v>
      </c>
      <c r="E51" s="141" t="e">
        <v>#NAME?</v>
      </c>
      <c r="F51" s="141" t="e">
        <v>#NAME?</v>
      </c>
      <c r="G51" s="141" t="e">
        <v>#NAME?</v>
      </c>
      <c r="H51" s="141" t="e">
        <v>#NAME?</v>
      </c>
      <c r="I51" s="141" t="e">
        <v>#NAME?</v>
      </c>
      <c r="J51" s="141" t="e">
        <v>#NAME?</v>
      </c>
      <c r="K51" s="141" t="e">
        <v>#NAME?</v>
      </c>
    </row>
    <row r="52" spans="1:11">
      <c r="A52" s="141" t="e">
        <f ca="1"/>
        <v>#NAME?</v>
      </c>
      <c r="B52" s="141" t="e">
        <v>#NAME?</v>
      </c>
      <c r="C52" s="141" t="e">
        <v>#NAME?</v>
      </c>
      <c r="D52" s="141" t="e">
        <v>#NAME?</v>
      </c>
      <c r="E52" s="141" t="e">
        <v>#NAME?</v>
      </c>
      <c r="F52" s="141" t="e">
        <v>#NAME?</v>
      </c>
      <c r="G52" s="141" t="e">
        <v>#NAME?</v>
      </c>
      <c r="H52" s="141" t="e">
        <v>#NAME?</v>
      </c>
      <c r="I52" s="141" t="e">
        <v>#NAME?</v>
      </c>
      <c r="J52" s="141" t="e">
        <v>#NAME?</v>
      </c>
      <c r="K52" s="141" t="e">
        <v>#NAME?</v>
      </c>
    </row>
    <row r="53" spans="1:11">
      <c r="A53" s="141" t="e">
        <f ca="1"/>
        <v>#NAME?</v>
      </c>
      <c r="B53" s="141" t="e">
        <v>#NAME?</v>
      </c>
      <c r="C53" s="141" t="e">
        <v>#NAME?</v>
      </c>
      <c r="D53" s="141" t="e">
        <v>#NAME?</v>
      </c>
      <c r="E53" s="141" t="e">
        <v>#NAME?</v>
      </c>
      <c r="F53" s="141" t="e">
        <v>#NAME?</v>
      </c>
      <c r="G53" s="141" t="e">
        <v>#NAME?</v>
      </c>
      <c r="H53" s="141" t="e">
        <v>#NAME?</v>
      </c>
      <c r="I53" s="141" t="e">
        <v>#NAME?</v>
      </c>
      <c r="J53" s="141" t="e">
        <v>#NAME?</v>
      </c>
      <c r="K53" s="141" t="e">
        <v>#NAME?</v>
      </c>
    </row>
    <row r="54" spans="1:11">
      <c r="A54" s="141" t="e">
        <f ca="1"/>
        <v>#NAME?</v>
      </c>
      <c r="B54" s="141" t="e">
        <v>#NAME?</v>
      </c>
      <c r="C54" s="141" t="e">
        <v>#NAME?</v>
      </c>
      <c r="D54" s="141" t="e">
        <v>#NAME?</v>
      </c>
      <c r="E54" s="141" t="e">
        <v>#NAME?</v>
      </c>
      <c r="F54" s="141" t="e">
        <v>#NAME?</v>
      </c>
      <c r="G54" s="141" t="e">
        <v>#NAME?</v>
      </c>
      <c r="H54" s="141" t="e">
        <v>#NAME?</v>
      </c>
      <c r="I54" s="141" t="e">
        <v>#NAME?</v>
      </c>
      <c r="J54" s="141" t="e">
        <v>#NAME?</v>
      </c>
      <c r="K54" s="141" t="e">
        <v>#NAME?</v>
      </c>
    </row>
    <row r="55" spans="1:11">
      <c r="A55" s="141" t="e">
        <f ca="1"/>
        <v>#NAME?</v>
      </c>
      <c r="B55" s="141" t="e">
        <v>#NAME?</v>
      </c>
      <c r="C55" s="141" t="e">
        <v>#NAME?</v>
      </c>
      <c r="D55" s="141" t="e">
        <v>#NAME?</v>
      </c>
      <c r="E55" s="141" t="e">
        <v>#NAME?</v>
      </c>
      <c r="F55" s="141" t="e">
        <v>#NAME?</v>
      </c>
      <c r="G55" s="141" t="e">
        <v>#NAME?</v>
      </c>
      <c r="H55" s="141" t="e">
        <v>#NAME?</v>
      </c>
      <c r="I55" s="141" t="e">
        <v>#NAME?</v>
      </c>
      <c r="J55" s="141" t="e">
        <v>#NAME?</v>
      </c>
      <c r="K55" s="141" t="e">
        <v>#NAME?</v>
      </c>
    </row>
    <row r="56" spans="1:11">
      <c r="A56" s="141" t="e">
        <f ca="1"/>
        <v>#NAME?</v>
      </c>
      <c r="B56" s="141" t="e">
        <v>#NAME?</v>
      </c>
      <c r="C56" s="141" t="e">
        <v>#NAME?</v>
      </c>
      <c r="D56" s="141" t="e">
        <v>#NAME?</v>
      </c>
      <c r="E56" s="141" t="e">
        <v>#NAME?</v>
      </c>
      <c r="F56" s="141" t="e">
        <v>#NAME?</v>
      </c>
      <c r="G56" s="141" t="e">
        <v>#NAME?</v>
      </c>
      <c r="H56" s="141" t="e">
        <v>#NAME?</v>
      </c>
      <c r="I56" s="141" t="e">
        <v>#NAME?</v>
      </c>
      <c r="J56" s="141" t="e">
        <v>#NAME?</v>
      </c>
      <c r="K56" s="141" t="e">
        <v>#NAME?</v>
      </c>
    </row>
    <row r="57" spans="1:11">
      <c r="A57" s="141" t="e">
        <f ca="1"/>
        <v>#NAME?</v>
      </c>
      <c r="B57" s="141" t="e">
        <v>#NAME?</v>
      </c>
      <c r="C57" s="141" t="e">
        <v>#NAME?</v>
      </c>
      <c r="D57" s="141" t="e">
        <v>#NAME?</v>
      </c>
      <c r="E57" s="141" t="e">
        <v>#NAME?</v>
      </c>
      <c r="F57" s="141" t="e">
        <v>#NAME?</v>
      </c>
      <c r="G57" s="141" t="e">
        <v>#NAME?</v>
      </c>
      <c r="H57" s="141" t="e">
        <v>#NAME?</v>
      </c>
      <c r="I57" s="141" t="e">
        <v>#NAME?</v>
      </c>
      <c r="J57" s="141" t="e">
        <v>#NAME?</v>
      </c>
      <c r="K57" s="141" t="e">
        <v>#NAME?</v>
      </c>
    </row>
    <row r="58" spans="1:11">
      <c r="A58" s="141" t="e">
        <f ca="1"/>
        <v>#NAME?</v>
      </c>
      <c r="B58" s="141" t="e">
        <v>#NAME?</v>
      </c>
      <c r="C58" s="141" t="e">
        <v>#NAME?</v>
      </c>
      <c r="D58" s="141" t="e">
        <v>#NAME?</v>
      </c>
      <c r="E58" s="141" t="e">
        <v>#NAME?</v>
      </c>
      <c r="F58" s="141" t="e">
        <v>#NAME?</v>
      </c>
      <c r="G58" s="141" t="e">
        <v>#NAME?</v>
      </c>
      <c r="H58" s="141" t="e">
        <v>#NAME?</v>
      </c>
      <c r="I58" s="141" t="e">
        <v>#NAME?</v>
      </c>
      <c r="J58" s="141" t="e">
        <v>#NAME?</v>
      </c>
      <c r="K58" s="141" t="e">
        <v>#NAME?</v>
      </c>
    </row>
    <row r="59" spans="1:11">
      <c r="A59" s="141" t="e">
        <f ca="1"/>
        <v>#NAME?</v>
      </c>
      <c r="B59" s="141" t="e">
        <v>#NAME?</v>
      </c>
      <c r="C59" s="141" t="e">
        <v>#NAME?</v>
      </c>
      <c r="D59" s="141" t="e">
        <v>#NAME?</v>
      </c>
      <c r="E59" s="141" t="e">
        <v>#NAME?</v>
      </c>
      <c r="F59" s="141" t="e">
        <v>#NAME?</v>
      </c>
      <c r="G59" s="141" t="e">
        <v>#NAME?</v>
      </c>
      <c r="H59" s="141" t="e">
        <v>#NAME?</v>
      </c>
      <c r="I59" s="141" t="e">
        <v>#NAME?</v>
      </c>
      <c r="J59" s="141" t="e">
        <v>#NAME?</v>
      </c>
      <c r="K59" s="141" t="e">
        <v>#NAME?</v>
      </c>
    </row>
    <row r="60" spans="1:11">
      <c r="A60" s="141" t="e">
        <f ca="1"/>
        <v>#NAME?</v>
      </c>
      <c r="B60" s="141" t="e">
        <v>#NAME?</v>
      </c>
      <c r="C60" s="141" t="e">
        <v>#NAME?</v>
      </c>
      <c r="D60" s="141" t="e">
        <v>#NAME?</v>
      </c>
      <c r="E60" s="141" t="e">
        <v>#NAME?</v>
      </c>
      <c r="F60" s="141" t="e">
        <v>#NAME?</v>
      </c>
      <c r="G60" s="141" t="e">
        <v>#NAME?</v>
      </c>
      <c r="H60" s="141" t="e">
        <v>#NAME?</v>
      </c>
      <c r="I60" s="141" t="e">
        <v>#NAME?</v>
      </c>
      <c r="J60" s="141" t="e">
        <v>#NAME?</v>
      </c>
      <c r="K60" s="141" t="e">
        <v>#NAME?</v>
      </c>
    </row>
    <row r="61" spans="1:11">
      <c r="A61" s="141" t="e">
        <f ca="1"/>
        <v>#NAME?</v>
      </c>
      <c r="B61" s="141" t="e">
        <v>#NAME?</v>
      </c>
      <c r="C61" s="141" t="e">
        <v>#NAME?</v>
      </c>
      <c r="D61" s="141" t="e">
        <v>#NAME?</v>
      </c>
      <c r="E61" s="141" t="e">
        <v>#NAME?</v>
      </c>
      <c r="F61" s="141" t="e">
        <v>#NAME?</v>
      </c>
      <c r="G61" s="141" t="e">
        <v>#NAME?</v>
      </c>
      <c r="H61" s="141" t="e">
        <v>#NAME?</v>
      </c>
      <c r="I61" s="141" t="e">
        <v>#NAME?</v>
      </c>
      <c r="J61" s="141" t="e">
        <v>#NAME?</v>
      </c>
      <c r="K61" s="141" t="e">
        <v>#NAME?</v>
      </c>
    </row>
    <row r="62" spans="1:11">
      <c r="A62" s="141" t="e">
        <f ca="1"/>
        <v>#NAME?</v>
      </c>
      <c r="B62" s="141" t="e">
        <v>#NAME?</v>
      </c>
      <c r="C62" s="141" t="e">
        <v>#NAME?</v>
      </c>
      <c r="D62" s="141" t="e">
        <v>#NAME?</v>
      </c>
      <c r="E62" s="141" t="e">
        <v>#NAME?</v>
      </c>
      <c r="F62" s="141" t="e">
        <v>#NAME?</v>
      </c>
      <c r="G62" s="141" t="e">
        <v>#NAME?</v>
      </c>
      <c r="H62" s="141" t="e">
        <v>#NAME?</v>
      </c>
      <c r="I62" s="141" t="e">
        <v>#NAME?</v>
      </c>
      <c r="J62" s="141" t="e">
        <v>#NAME?</v>
      </c>
      <c r="K62" s="141" t="e">
        <v>#NAME?</v>
      </c>
    </row>
    <row r="63" spans="1:11">
      <c r="A63" s="141" t="e">
        <f ca="1"/>
        <v>#NAME?</v>
      </c>
      <c r="B63" s="141" t="e">
        <v>#NAME?</v>
      </c>
      <c r="C63" s="141" t="e">
        <v>#NAME?</v>
      </c>
      <c r="D63" s="141" t="e">
        <v>#NAME?</v>
      </c>
      <c r="E63" s="141" t="e">
        <v>#NAME?</v>
      </c>
      <c r="F63" s="141" t="e">
        <v>#NAME?</v>
      </c>
      <c r="G63" s="141" t="e">
        <v>#NAME?</v>
      </c>
      <c r="H63" s="141" t="e">
        <v>#NAME?</v>
      </c>
      <c r="I63" s="141" t="e">
        <v>#NAME?</v>
      </c>
      <c r="J63" s="141" t="e">
        <v>#NAME?</v>
      </c>
      <c r="K63" s="141" t="e">
        <v>#NAME?</v>
      </c>
    </row>
    <row r="64" spans="1:11">
      <c r="A64" s="141" t="e">
        <f ca="1"/>
        <v>#NAME?</v>
      </c>
      <c r="B64" s="141" t="e">
        <v>#NAME?</v>
      </c>
      <c r="C64" s="141" t="e">
        <v>#NAME?</v>
      </c>
      <c r="D64" s="141" t="e">
        <v>#NAME?</v>
      </c>
      <c r="E64" s="141" t="e">
        <v>#NAME?</v>
      </c>
      <c r="F64" s="141" t="e">
        <v>#NAME?</v>
      </c>
      <c r="G64" s="141" t="e">
        <v>#NAME?</v>
      </c>
      <c r="H64" s="141" t="e">
        <v>#NAME?</v>
      </c>
      <c r="I64" s="141" t="e">
        <v>#NAME?</v>
      </c>
      <c r="J64" s="141" t="e">
        <v>#NAME?</v>
      </c>
      <c r="K64" s="141" t="e">
        <v>#NAME?</v>
      </c>
    </row>
    <row r="65" spans="1:11">
      <c r="A65" s="141" t="e">
        <f ca="1"/>
        <v>#NAME?</v>
      </c>
      <c r="B65" s="141" t="e">
        <v>#NAME?</v>
      </c>
      <c r="C65" s="141" t="e">
        <v>#NAME?</v>
      </c>
      <c r="D65" s="141" t="e">
        <v>#NAME?</v>
      </c>
      <c r="E65" s="141" t="e">
        <v>#NAME?</v>
      </c>
      <c r="F65" s="141" t="e">
        <v>#NAME?</v>
      </c>
      <c r="G65" s="141" t="e">
        <v>#NAME?</v>
      </c>
      <c r="H65" s="141" t="e">
        <v>#NAME?</v>
      </c>
      <c r="I65" s="141" t="e">
        <v>#NAME?</v>
      </c>
      <c r="J65" s="141" t="e">
        <v>#NAME?</v>
      </c>
      <c r="K65" s="141" t="e">
        <v>#NAME?</v>
      </c>
    </row>
    <row r="66" spans="1:11">
      <c r="A66" s="141" t="e">
        <f ca="1"/>
        <v>#NAME?</v>
      </c>
      <c r="B66" s="141" t="e">
        <v>#NAME?</v>
      </c>
      <c r="C66" s="141" t="e">
        <v>#NAME?</v>
      </c>
      <c r="D66" s="141" t="e">
        <v>#NAME?</v>
      </c>
      <c r="E66" s="141" t="e">
        <v>#NAME?</v>
      </c>
      <c r="F66" s="141" t="e">
        <v>#NAME?</v>
      </c>
      <c r="G66" s="141" t="e">
        <v>#NAME?</v>
      </c>
      <c r="H66" s="141" t="e">
        <v>#NAME?</v>
      </c>
      <c r="I66" s="141" t="e">
        <v>#NAME?</v>
      </c>
      <c r="J66" s="141" t="e">
        <v>#NAME?</v>
      </c>
      <c r="K66" s="141" t="e">
        <v>#NAME?</v>
      </c>
    </row>
    <row r="67" spans="1:11">
      <c r="A67" s="141" t="e">
        <f ca="1"/>
        <v>#NAME?</v>
      </c>
      <c r="B67" s="141" t="e">
        <v>#NAME?</v>
      </c>
      <c r="C67" s="141" t="e">
        <v>#NAME?</v>
      </c>
      <c r="D67" s="141" t="e">
        <v>#NAME?</v>
      </c>
      <c r="E67" s="141" t="e">
        <v>#NAME?</v>
      </c>
      <c r="F67" s="141" t="e">
        <v>#NAME?</v>
      </c>
      <c r="G67" s="141" t="e">
        <v>#NAME?</v>
      </c>
      <c r="H67" s="141" t="e">
        <v>#NAME?</v>
      </c>
      <c r="I67" s="141" t="e">
        <v>#NAME?</v>
      </c>
      <c r="J67" s="141" t="e">
        <v>#NAME?</v>
      </c>
      <c r="K67" s="141" t="e">
        <v>#NAME?</v>
      </c>
    </row>
    <row r="68" spans="1:11">
      <c r="A68" s="141" t="e">
        <f ca="1"/>
        <v>#NAME?</v>
      </c>
      <c r="B68" s="141" t="e">
        <v>#NAME?</v>
      </c>
      <c r="C68" s="141" t="e">
        <v>#NAME?</v>
      </c>
      <c r="D68" s="141" t="e">
        <v>#NAME?</v>
      </c>
      <c r="E68" s="141" t="e">
        <v>#NAME?</v>
      </c>
      <c r="F68" s="141" t="e">
        <v>#NAME?</v>
      </c>
      <c r="G68" s="141" t="e">
        <v>#NAME?</v>
      </c>
      <c r="H68" s="141" t="e">
        <v>#NAME?</v>
      </c>
      <c r="I68" s="141" t="e">
        <v>#NAME?</v>
      </c>
      <c r="J68" s="141" t="e">
        <v>#NAME?</v>
      </c>
      <c r="K68" s="141" t="e">
        <v>#NAME?</v>
      </c>
    </row>
    <row r="69" spans="1:11">
      <c r="A69" s="141" t="e">
        <f ca="1"/>
        <v>#NAME?</v>
      </c>
      <c r="B69" s="141" t="e">
        <v>#NAME?</v>
      </c>
      <c r="C69" s="141" t="e">
        <v>#NAME?</v>
      </c>
      <c r="D69" s="141" t="e">
        <v>#NAME?</v>
      </c>
      <c r="E69" s="141" t="e">
        <v>#NAME?</v>
      </c>
      <c r="F69" s="141" t="e">
        <v>#NAME?</v>
      </c>
      <c r="G69" s="141" t="e">
        <v>#NAME?</v>
      </c>
      <c r="H69" s="141" t="e">
        <v>#NAME?</v>
      </c>
      <c r="I69" s="141" t="e">
        <v>#NAME?</v>
      </c>
      <c r="J69" s="141" t="e">
        <v>#NAME?</v>
      </c>
      <c r="K69" s="141" t="e">
        <v>#NAME?</v>
      </c>
    </row>
    <row r="70" spans="1:11">
      <c r="A70" s="141" t="e">
        <f ca="1"/>
        <v>#NAME?</v>
      </c>
      <c r="B70" s="141" t="e">
        <v>#NAME?</v>
      </c>
      <c r="C70" s="141" t="e">
        <v>#NAME?</v>
      </c>
      <c r="D70" s="141" t="e">
        <v>#NAME?</v>
      </c>
      <c r="E70" s="141" t="e">
        <v>#NAME?</v>
      </c>
      <c r="F70" s="141" t="e">
        <v>#NAME?</v>
      </c>
      <c r="G70" s="141" t="e">
        <v>#NAME?</v>
      </c>
      <c r="H70" s="141" t="e">
        <v>#NAME?</v>
      </c>
      <c r="I70" s="141" t="e">
        <v>#NAME?</v>
      </c>
      <c r="J70" s="141" t="e">
        <v>#NAME?</v>
      </c>
      <c r="K70" s="141" t="e">
        <v>#NAME?</v>
      </c>
    </row>
    <row r="71" spans="1:11">
      <c r="A71" s="142"/>
      <c r="B71" s="142">
        <v>0</v>
      </c>
      <c r="C71" s="142">
        <v>0</v>
      </c>
      <c r="D71" s="142" t="e">
        <v>#NAME?</v>
      </c>
      <c r="E71" s="142">
        <v>0</v>
      </c>
      <c r="F71" s="142">
        <v>0</v>
      </c>
      <c r="G71" s="142">
        <v>0</v>
      </c>
      <c r="H71" s="142">
        <v>0</v>
      </c>
      <c r="I71" s="142">
        <v>0</v>
      </c>
      <c r="J71" s="142">
        <v>0</v>
      </c>
      <c r="K71" s="142">
        <v>0</v>
      </c>
    </row>
    <row r="72" spans="1:11">
      <c r="A72" s="142"/>
      <c r="B72" s="142">
        <v>0</v>
      </c>
      <c r="C72" s="142">
        <v>0</v>
      </c>
      <c r="D72" s="142" t="e">
        <v>#NAME?</v>
      </c>
      <c r="E72" s="142">
        <v>0</v>
      </c>
      <c r="F72" s="142">
        <v>0</v>
      </c>
      <c r="G72" s="142">
        <v>0</v>
      </c>
      <c r="H72" s="142">
        <v>0</v>
      </c>
      <c r="I72" s="142">
        <v>0</v>
      </c>
      <c r="J72" s="142">
        <v>0</v>
      </c>
      <c r="K72" s="142">
        <v>0</v>
      </c>
    </row>
    <row r="73" spans="1:11">
      <c r="A73" s="142"/>
      <c r="B73" s="142">
        <v>0</v>
      </c>
      <c r="C73" s="142">
        <v>0</v>
      </c>
      <c r="D73" s="142" t="e">
        <v>#NAME?</v>
      </c>
      <c r="E73" s="142">
        <v>0</v>
      </c>
      <c r="F73" s="142">
        <v>0</v>
      </c>
      <c r="G73" s="142">
        <v>0</v>
      </c>
      <c r="H73" s="142">
        <v>0</v>
      </c>
      <c r="I73" s="142">
        <v>0</v>
      </c>
      <c r="J73" s="142">
        <v>0</v>
      </c>
      <c r="K73" s="142">
        <v>0</v>
      </c>
    </row>
    <row r="74" spans="1:11">
      <c r="A74" s="142"/>
      <c r="B74" s="142">
        <v>0</v>
      </c>
      <c r="C74" s="142">
        <v>0</v>
      </c>
      <c r="D74" s="142" t="e">
        <v>#NAME?</v>
      </c>
      <c r="E74" s="142">
        <v>0</v>
      </c>
      <c r="F74" s="142">
        <v>0</v>
      </c>
      <c r="G74" s="142">
        <v>0</v>
      </c>
      <c r="H74" s="142">
        <v>0</v>
      </c>
      <c r="I74" s="142">
        <v>0</v>
      </c>
      <c r="J74" s="142">
        <v>0</v>
      </c>
      <c r="K74" s="142">
        <v>0</v>
      </c>
    </row>
    <row r="75" spans="1:11">
      <c r="A75" s="142"/>
      <c r="B75" s="142">
        <v>0</v>
      </c>
      <c r="C75" s="142">
        <v>0</v>
      </c>
      <c r="D75" s="142" t="e">
        <v>#NAME?</v>
      </c>
      <c r="E75" s="142">
        <v>0</v>
      </c>
      <c r="F75" s="142">
        <v>0</v>
      </c>
      <c r="G75" s="142">
        <v>0</v>
      </c>
      <c r="H75" s="142">
        <v>0</v>
      </c>
      <c r="I75" s="142">
        <v>0</v>
      </c>
      <c r="J75" s="142">
        <v>0</v>
      </c>
      <c r="K75" s="142">
        <v>0</v>
      </c>
    </row>
    <row r="76" spans="1:11">
      <c r="A76" s="142"/>
      <c r="B76" s="142">
        <v>0</v>
      </c>
      <c r="C76" s="142">
        <v>0</v>
      </c>
      <c r="D76" s="142" t="e">
        <v>#NAME?</v>
      </c>
      <c r="E76" s="142">
        <v>0</v>
      </c>
      <c r="F76" s="142">
        <v>0</v>
      </c>
      <c r="G76" s="142">
        <v>0</v>
      </c>
      <c r="H76" s="142">
        <v>0</v>
      </c>
      <c r="I76" s="142">
        <v>0</v>
      </c>
      <c r="J76" s="142">
        <v>0</v>
      </c>
      <c r="K76" s="142">
        <v>0</v>
      </c>
    </row>
    <row r="77" spans="1:11">
      <c r="A77" s="142"/>
      <c r="B77" s="142">
        <v>0</v>
      </c>
      <c r="C77" s="142">
        <v>0</v>
      </c>
      <c r="D77" s="142" t="e">
        <v>#NAME?</v>
      </c>
      <c r="E77" s="142">
        <v>0</v>
      </c>
      <c r="F77" s="142">
        <v>0</v>
      </c>
      <c r="G77" s="142">
        <v>0</v>
      </c>
      <c r="H77" s="142">
        <v>0</v>
      </c>
      <c r="I77" s="142">
        <v>0</v>
      </c>
      <c r="J77" s="142">
        <v>0</v>
      </c>
      <c r="K77" s="142">
        <v>0</v>
      </c>
    </row>
    <row r="78" spans="1:11">
      <c r="A78" s="142"/>
      <c r="B78" s="142">
        <v>0</v>
      </c>
      <c r="C78" s="142">
        <v>0</v>
      </c>
      <c r="D78" s="142" t="e">
        <v>#NAME?</v>
      </c>
      <c r="E78" s="142">
        <v>0</v>
      </c>
      <c r="F78" s="142">
        <v>0</v>
      </c>
      <c r="G78" s="142">
        <v>0</v>
      </c>
      <c r="H78" s="142">
        <v>0</v>
      </c>
      <c r="I78" s="142">
        <v>0</v>
      </c>
      <c r="J78" s="142">
        <v>0</v>
      </c>
      <c r="K78" s="142">
        <v>0</v>
      </c>
    </row>
    <row r="79" spans="1:11">
      <c r="A79" s="142"/>
      <c r="B79" s="142">
        <v>0</v>
      </c>
      <c r="C79" s="142">
        <v>0</v>
      </c>
      <c r="D79" s="142" t="e">
        <v>#NAME?</v>
      </c>
      <c r="E79" s="142">
        <v>0</v>
      </c>
      <c r="F79" s="142">
        <v>0</v>
      </c>
      <c r="G79" s="142">
        <v>0</v>
      </c>
      <c r="H79" s="142">
        <v>0</v>
      </c>
      <c r="I79" s="142">
        <v>0</v>
      </c>
      <c r="J79" s="142">
        <v>0</v>
      </c>
      <c r="K79" s="142">
        <v>0</v>
      </c>
    </row>
    <row r="80" spans="1:11">
      <c r="A80" s="142"/>
      <c r="B80" s="142">
        <v>0</v>
      </c>
      <c r="C80" s="142">
        <v>0</v>
      </c>
      <c r="D80" s="142" t="e">
        <v>#NAME?</v>
      </c>
      <c r="E80" s="142">
        <v>0</v>
      </c>
      <c r="F80" s="142">
        <v>0</v>
      </c>
      <c r="G80" s="142">
        <v>0</v>
      </c>
      <c r="H80" s="142">
        <v>0</v>
      </c>
      <c r="I80" s="142">
        <v>0</v>
      </c>
      <c r="J80" s="142">
        <v>0</v>
      </c>
      <c r="K80" s="142">
        <v>0</v>
      </c>
    </row>
    <row r="81" spans="1:11">
      <c r="A81" s="142"/>
      <c r="B81" s="142">
        <v>0</v>
      </c>
      <c r="C81" s="142">
        <v>0</v>
      </c>
      <c r="D81" s="142" t="e">
        <v>#NAME?</v>
      </c>
      <c r="E81" s="142">
        <v>0</v>
      </c>
      <c r="F81" s="142">
        <v>0</v>
      </c>
      <c r="G81" s="142">
        <v>0</v>
      </c>
      <c r="H81" s="142">
        <v>0</v>
      </c>
      <c r="I81" s="142">
        <v>0</v>
      </c>
      <c r="J81" s="142">
        <v>0</v>
      </c>
      <c r="K81" s="142">
        <v>0</v>
      </c>
    </row>
    <row r="82" spans="1:11">
      <c r="A82" s="142"/>
      <c r="B82" s="142">
        <v>0</v>
      </c>
      <c r="C82" s="142">
        <v>0</v>
      </c>
      <c r="D82" s="142" t="e">
        <v>#NAME?</v>
      </c>
      <c r="E82" s="142">
        <v>0</v>
      </c>
      <c r="F82" s="142">
        <v>0</v>
      </c>
      <c r="G82" s="142">
        <v>0</v>
      </c>
      <c r="H82" s="142">
        <v>0</v>
      </c>
      <c r="I82" s="142">
        <v>0</v>
      </c>
      <c r="J82" s="142">
        <v>0</v>
      </c>
      <c r="K82" s="142">
        <v>0</v>
      </c>
    </row>
    <row r="83" spans="1:11">
      <c r="A83" s="142"/>
      <c r="B83" s="142">
        <v>0</v>
      </c>
      <c r="C83" s="142">
        <v>0</v>
      </c>
      <c r="D83" s="142" t="e">
        <v>#NAME?</v>
      </c>
      <c r="E83" s="142">
        <v>0</v>
      </c>
      <c r="F83" s="142">
        <v>0</v>
      </c>
      <c r="G83" s="142">
        <v>0</v>
      </c>
      <c r="H83" s="142">
        <v>0</v>
      </c>
      <c r="I83" s="142">
        <v>0</v>
      </c>
      <c r="J83" s="142">
        <v>0</v>
      </c>
      <c r="K83" s="142">
        <v>0</v>
      </c>
    </row>
    <row r="84" spans="1:11">
      <c r="A84" s="142"/>
      <c r="B84" s="142">
        <v>0</v>
      </c>
      <c r="C84" s="142">
        <v>0</v>
      </c>
      <c r="D84" s="142" t="e">
        <v>#NAME?</v>
      </c>
      <c r="E84" s="142">
        <v>0</v>
      </c>
      <c r="F84" s="142">
        <v>0</v>
      </c>
      <c r="G84" s="142">
        <v>0</v>
      </c>
      <c r="H84" s="142">
        <v>0</v>
      </c>
      <c r="I84" s="142">
        <v>0</v>
      </c>
      <c r="J84" s="142">
        <v>0</v>
      </c>
      <c r="K84" s="142">
        <v>0</v>
      </c>
    </row>
    <row r="85" spans="1:11">
      <c r="A85" s="142"/>
      <c r="B85" s="142">
        <v>0</v>
      </c>
      <c r="C85" s="142">
        <v>0</v>
      </c>
      <c r="D85" s="142" t="e">
        <v>#NAME?</v>
      </c>
      <c r="E85" s="142">
        <v>0</v>
      </c>
      <c r="F85" s="142">
        <v>0</v>
      </c>
      <c r="G85" s="142">
        <v>0</v>
      </c>
      <c r="H85" s="142">
        <v>0</v>
      </c>
      <c r="I85" s="142">
        <v>0</v>
      </c>
      <c r="J85" s="142">
        <v>0</v>
      </c>
      <c r="K85" s="142">
        <v>0</v>
      </c>
    </row>
    <row r="86" spans="1:11">
      <c r="A86" s="142"/>
      <c r="B86" s="142">
        <v>0</v>
      </c>
      <c r="C86" s="142">
        <v>0</v>
      </c>
      <c r="D86" s="142" t="e">
        <v>#NAME?</v>
      </c>
      <c r="E86" s="142">
        <v>0</v>
      </c>
      <c r="F86" s="142">
        <v>0</v>
      </c>
      <c r="G86" s="142">
        <v>0</v>
      </c>
      <c r="H86" s="142">
        <v>0</v>
      </c>
      <c r="I86" s="142">
        <v>0</v>
      </c>
      <c r="J86" s="142">
        <v>0</v>
      </c>
      <c r="K86" s="142">
        <v>0</v>
      </c>
    </row>
    <row r="87" spans="1:11">
      <c r="A87" s="142"/>
      <c r="B87" s="142">
        <v>0</v>
      </c>
      <c r="C87" s="142">
        <v>0</v>
      </c>
      <c r="D87" s="142" t="e">
        <v>#NAME?</v>
      </c>
      <c r="E87" s="142">
        <v>0</v>
      </c>
      <c r="F87" s="142">
        <v>0</v>
      </c>
      <c r="G87" s="142">
        <v>0</v>
      </c>
      <c r="H87" s="142">
        <v>0</v>
      </c>
      <c r="I87" s="142">
        <v>0</v>
      </c>
      <c r="J87" s="142">
        <v>0</v>
      </c>
      <c r="K87" s="142">
        <v>0</v>
      </c>
    </row>
    <row r="88" spans="1:11">
      <c r="A88" s="142"/>
      <c r="B88" s="142">
        <v>0</v>
      </c>
      <c r="C88" s="142">
        <v>0</v>
      </c>
      <c r="D88" s="142" t="e">
        <v>#NAME?</v>
      </c>
      <c r="E88" s="142">
        <v>0</v>
      </c>
      <c r="F88" s="142">
        <v>0</v>
      </c>
      <c r="G88" s="142">
        <v>0</v>
      </c>
      <c r="H88" s="142">
        <v>0</v>
      </c>
      <c r="I88" s="142">
        <v>0</v>
      </c>
      <c r="J88" s="142">
        <v>0</v>
      </c>
      <c r="K88" s="142">
        <v>0</v>
      </c>
    </row>
    <row r="89" spans="1:11">
      <c r="A89" s="142"/>
      <c r="B89" s="142">
        <v>0</v>
      </c>
      <c r="C89" s="142">
        <v>0</v>
      </c>
      <c r="D89" s="142" t="e">
        <v>#NAME?</v>
      </c>
      <c r="E89" s="142">
        <v>0</v>
      </c>
      <c r="F89" s="142">
        <v>0</v>
      </c>
      <c r="G89" s="142">
        <v>0</v>
      </c>
      <c r="H89" s="142">
        <v>0</v>
      </c>
      <c r="I89" s="142">
        <v>0</v>
      </c>
      <c r="J89" s="142">
        <v>0</v>
      </c>
      <c r="K89" s="142">
        <v>0</v>
      </c>
    </row>
    <row r="90" spans="1:11">
      <c r="A90" s="142"/>
      <c r="B90" s="142">
        <v>0</v>
      </c>
      <c r="C90" s="142">
        <v>0</v>
      </c>
      <c r="D90" s="142" t="e">
        <v>#NAME?</v>
      </c>
      <c r="E90" s="142">
        <v>0</v>
      </c>
      <c r="F90" s="142">
        <v>0</v>
      </c>
      <c r="G90" s="142">
        <v>0</v>
      </c>
      <c r="H90" s="142">
        <v>0</v>
      </c>
      <c r="I90" s="142">
        <v>0</v>
      </c>
      <c r="J90" s="142">
        <v>0</v>
      </c>
      <c r="K90" s="142">
        <v>0</v>
      </c>
    </row>
    <row r="91" spans="1:11">
      <c r="A91" s="142"/>
      <c r="B91" s="142">
        <v>0</v>
      </c>
      <c r="C91" s="142">
        <v>0</v>
      </c>
      <c r="D91" s="142" t="e">
        <v>#NAME?</v>
      </c>
      <c r="E91" s="142">
        <v>0</v>
      </c>
      <c r="F91" s="142">
        <v>0</v>
      </c>
      <c r="G91" s="142">
        <v>0</v>
      </c>
      <c r="H91" s="142">
        <v>0</v>
      </c>
      <c r="I91" s="142">
        <v>0</v>
      </c>
      <c r="J91" s="142">
        <v>0</v>
      </c>
      <c r="K91" s="142">
        <v>0</v>
      </c>
    </row>
    <row r="92" spans="1:11">
      <c r="A92" s="142"/>
      <c r="B92" s="142">
        <v>0</v>
      </c>
      <c r="C92" s="142">
        <v>0</v>
      </c>
      <c r="D92" s="142" t="e">
        <v>#NAME?</v>
      </c>
      <c r="E92" s="142">
        <v>0</v>
      </c>
      <c r="F92" s="142">
        <v>0</v>
      </c>
      <c r="G92" s="142">
        <v>0</v>
      </c>
      <c r="H92" s="142">
        <v>0</v>
      </c>
      <c r="I92" s="142">
        <v>0</v>
      </c>
      <c r="J92" s="142">
        <v>0</v>
      </c>
      <c r="K92" s="142">
        <v>0</v>
      </c>
    </row>
    <row r="93" spans="1:11">
      <c r="A93" s="142"/>
      <c r="B93" s="142">
        <v>0</v>
      </c>
      <c r="C93" s="142">
        <v>0</v>
      </c>
      <c r="D93" s="142" t="e">
        <v>#NAME?</v>
      </c>
      <c r="E93" s="142">
        <v>0</v>
      </c>
      <c r="F93" s="142">
        <v>0</v>
      </c>
      <c r="G93" s="142">
        <v>0</v>
      </c>
      <c r="H93" s="142">
        <v>0</v>
      </c>
      <c r="I93" s="142">
        <v>0</v>
      </c>
      <c r="J93" s="142">
        <v>0</v>
      </c>
      <c r="K93" s="142">
        <v>0</v>
      </c>
    </row>
    <row r="94" spans="1:11">
      <c r="A94" s="142"/>
      <c r="B94" s="142">
        <v>0</v>
      </c>
      <c r="C94" s="142">
        <v>0</v>
      </c>
      <c r="D94" s="142" t="e">
        <v>#NAME?</v>
      </c>
      <c r="E94" s="142">
        <v>0</v>
      </c>
      <c r="F94" s="142">
        <v>0</v>
      </c>
      <c r="G94" s="142">
        <v>0</v>
      </c>
      <c r="H94" s="142">
        <v>0</v>
      </c>
      <c r="I94" s="142">
        <v>0</v>
      </c>
      <c r="J94" s="142">
        <v>0</v>
      </c>
      <c r="K94" s="142">
        <v>0</v>
      </c>
    </row>
    <row r="95" spans="1:11">
      <c r="A95" s="142"/>
      <c r="B95" s="142">
        <v>0</v>
      </c>
      <c r="C95" s="142">
        <v>0</v>
      </c>
      <c r="D95" s="142" t="e">
        <v>#NAME?</v>
      </c>
      <c r="E95" s="142">
        <v>0</v>
      </c>
      <c r="F95" s="142">
        <v>0</v>
      </c>
      <c r="G95" s="142">
        <v>0</v>
      </c>
      <c r="H95" s="142">
        <v>0</v>
      </c>
      <c r="I95" s="142">
        <v>0</v>
      </c>
      <c r="J95" s="142">
        <v>0</v>
      </c>
      <c r="K95" s="142">
        <v>0</v>
      </c>
    </row>
    <row r="96" spans="1:11">
      <c r="A96" s="142"/>
      <c r="B96" s="142">
        <v>0</v>
      </c>
      <c r="C96" s="142">
        <v>0</v>
      </c>
      <c r="D96" s="142" t="e">
        <v>#NAME?</v>
      </c>
      <c r="E96" s="142">
        <v>0</v>
      </c>
      <c r="F96" s="142">
        <v>0</v>
      </c>
      <c r="G96" s="142">
        <v>0</v>
      </c>
      <c r="H96" s="142">
        <v>0</v>
      </c>
      <c r="I96" s="142">
        <v>0</v>
      </c>
      <c r="J96" s="142">
        <v>0</v>
      </c>
      <c r="K96" s="142">
        <v>0</v>
      </c>
    </row>
    <row r="97" spans="1:11">
      <c r="A97" s="142"/>
      <c r="B97" s="142">
        <v>0</v>
      </c>
      <c r="C97" s="142">
        <v>0</v>
      </c>
      <c r="D97" s="142" t="e">
        <v>#NAME?</v>
      </c>
      <c r="E97" s="142">
        <v>0</v>
      </c>
      <c r="F97" s="142">
        <v>0</v>
      </c>
      <c r="G97" s="142">
        <v>0</v>
      </c>
      <c r="H97" s="142">
        <v>0</v>
      </c>
      <c r="I97" s="142">
        <v>0</v>
      </c>
      <c r="J97" s="142">
        <v>0</v>
      </c>
      <c r="K97" s="142">
        <v>0</v>
      </c>
    </row>
    <row r="98" spans="1:11">
      <c r="A98" s="142"/>
      <c r="B98" s="142">
        <v>0</v>
      </c>
      <c r="C98" s="142">
        <v>0</v>
      </c>
      <c r="D98" s="142" t="e">
        <v>#NAME?</v>
      </c>
      <c r="E98" s="142">
        <v>0</v>
      </c>
      <c r="F98" s="142">
        <v>0</v>
      </c>
      <c r="G98" s="142">
        <v>0</v>
      </c>
      <c r="H98" s="142">
        <v>0</v>
      </c>
      <c r="I98" s="142">
        <v>0</v>
      </c>
      <c r="J98" s="142">
        <v>0</v>
      </c>
      <c r="K98" s="142">
        <v>0</v>
      </c>
    </row>
    <row r="99" spans="1:11">
      <c r="A99" s="142"/>
      <c r="B99" s="142">
        <v>0</v>
      </c>
      <c r="C99" s="142">
        <v>0</v>
      </c>
      <c r="D99" s="142" t="e">
        <v>#NAME?</v>
      </c>
      <c r="E99" s="142">
        <v>0</v>
      </c>
      <c r="F99" s="142">
        <v>0</v>
      </c>
      <c r="G99" s="142">
        <v>0</v>
      </c>
      <c r="H99" s="142">
        <v>0</v>
      </c>
      <c r="I99" s="142">
        <v>0</v>
      </c>
      <c r="J99" s="142">
        <v>0</v>
      </c>
      <c r="K99" s="142">
        <v>0</v>
      </c>
    </row>
    <row r="100" spans="1:11">
      <c r="A100" s="142"/>
      <c r="B100" s="142">
        <v>0</v>
      </c>
      <c r="C100" s="142">
        <v>0</v>
      </c>
      <c r="D100" s="142" t="e">
        <v>#NAME?</v>
      </c>
      <c r="E100" s="142">
        <v>0</v>
      </c>
      <c r="F100" s="142">
        <v>0</v>
      </c>
      <c r="G100" s="142">
        <v>0</v>
      </c>
      <c r="H100" s="142">
        <v>0</v>
      </c>
      <c r="I100" s="142">
        <v>0</v>
      </c>
      <c r="J100" s="142">
        <v>0</v>
      </c>
      <c r="K100" s="142">
        <v>0</v>
      </c>
    </row>
    <row r="101" spans="1:11">
      <c r="A101" s="142"/>
      <c r="B101" s="142">
        <v>0</v>
      </c>
      <c r="C101" s="142">
        <v>0</v>
      </c>
      <c r="D101" s="142" t="e">
        <v>#NAME?</v>
      </c>
      <c r="E101" s="142">
        <v>0</v>
      </c>
      <c r="F101" s="142">
        <v>0</v>
      </c>
      <c r="G101" s="142">
        <v>0</v>
      </c>
      <c r="H101" s="142">
        <v>0</v>
      </c>
      <c r="I101" s="142">
        <v>0</v>
      </c>
      <c r="J101" s="142">
        <v>0</v>
      </c>
      <c r="K101" s="142">
        <v>0</v>
      </c>
    </row>
    <row r="102" spans="1:11">
      <c r="A102" s="142"/>
      <c r="B102" s="142">
        <v>0</v>
      </c>
      <c r="C102" s="142">
        <v>0</v>
      </c>
      <c r="D102" s="142" t="e">
        <v>#NAME?</v>
      </c>
      <c r="E102" s="142">
        <v>0</v>
      </c>
      <c r="F102" s="142">
        <v>0</v>
      </c>
      <c r="G102" s="142">
        <v>0</v>
      </c>
      <c r="H102" s="142">
        <v>0</v>
      </c>
      <c r="I102" s="142">
        <v>0</v>
      </c>
      <c r="J102" s="142">
        <v>0</v>
      </c>
      <c r="K102" s="142">
        <v>0</v>
      </c>
    </row>
    <row r="103" spans="1:11">
      <c r="A103" s="142"/>
      <c r="B103" s="142">
        <v>0</v>
      </c>
      <c r="C103" s="142">
        <v>0</v>
      </c>
      <c r="D103" s="142" t="e">
        <v>#NAME?</v>
      </c>
      <c r="E103" s="142">
        <v>0</v>
      </c>
      <c r="F103" s="142">
        <v>0</v>
      </c>
      <c r="G103" s="142">
        <v>0</v>
      </c>
      <c r="H103" s="142">
        <v>0</v>
      </c>
      <c r="I103" s="142">
        <v>0</v>
      </c>
      <c r="J103" s="142">
        <v>0</v>
      </c>
      <c r="K103" s="142">
        <v>0</v>
      </c>
    </row>
    <row r="104" spans="1:11">
      <c r="A104" s="142"/>
      <c r="B104" s="142">
        <v>0</v>
      </c>
      <c r="C104" s="142">
        <v>0</v>
      </c>
      <c r="D104" s="142" t="e">
        <v>#NAME?</v>
      </c>
      <c r="E104" s="142">
        <v>0</v>
      </c>
      <c r="F104" s="142">
        <v>0</v>
      </c>
      <c r="G104" s="142">
        <v>0</v>
      </c>
      <c r="H104" s="142">
        <v>0</v>
      </c>
      <c r="I104" s="142">
        <v>0</v>
      </c>
      <c r="J104" s="142">
        <v>0</v>
      </c>
      <c r="K104" s="142">
        <v>0</v>
      </c>
    </row>
    <row r="105" spans="1:11">
      <c r="A105" s="142"/>
      <c r="B105" s="142">
        <v>0</v>
      </c>
      <c r="C105" s="142">
        <v>0</v>
      </c>
      <c r="D105" s="142" t="e">
        <v>#NAME?</v>
      </c>
      <c r="E105" s="142">
        <v>0</v>
      </c>
      <c r="F105" s="142">
        <v>0</v>
      </c>
      <c r="G105" s="142">
        <v>0</v>
      </c>
      <c r="H105" s="142">
        <v>0</v>
      </c>
      <c r="I105" s="142">
        <v>0</v>
      </c>
      <c r="J105" s="142">
        <v>0</v>
      </c>
      <c r="K105" s="142">
        <v>0</v>
      </c>
    </row>
    <row r="106" spans="1:11">
      <c r="A106" s="142"/>
      <c r="B106" s="142">
        <v>0</v>
      </c>
      <c r="C106" s="142">
        <v>0</v>
      </c>
      <c r="D106" s="142" t="e">
        <v>#NAME?</v>
      </c>
      <c r="E106" s="142">
        <v>0</v>
      </c>
      <c r="F106" s="142">
        <v>0</v>
      </c>
      <c r="G106" s="142">
        <v>0</v>
      </c>
      <c r="H106" s="142">
        <v>0</v>
      </c>
      <c r="I106" s="142">
        <v>0</v>
      </c>
      <c r="J106" s="142">
        <v>0</v>
      </c>
      <c r="K106" s="142">
        <v>0</v>
      </c>
    </row>
    <row r="107" spans="1:11">
      <c r="A107" s="142"/>
      <c r="B107" s="142">
        <v>0</v>
      </c>
      <c r="C107" s="142">
        <v>0</v>
      </c>
      <c r="D107" s="142" t="e">
        <v>#NAME?</v>
      </c>
      <c r="E107" s="142">
        <v>0</v>
      </c>
      <c r="F107" s="142">
        <v>0</v>
      </c>
      <c r="G107" s="142">
        <v>0</v>
      </c>
      <c r="H107" s="142">
        <v>0</v>
      </c>
      <c r="I107" s="142">
        <v>0</v>
      </c>
      <c r="J107" s="142">
        <v>0</v>
      </c>
      <c r="K107" s="142">
        <v>0</v>
      </c>
    </row>
    <row r="108" spans="1:11">
      <c r="A108" s="142"/>
      <c r="B108" s="142">
        <v>0</v>
      </c>
      <c r="C108" s="142">
        <v>0</v>
      </c>
      <c r="D108" s="142" t="e">
        <v>#NAME?</v>
      </c>
      <c r="E108" s="142">
        <v>0</v>
      </c>
      <c r="F108" s="142">
        <v>0</v>
      </c>
      <c r="G108" s="142">
        <v>0</v>
      </c>
      <c r="H108" s="142">
        <v>0</v>
      </c>
      <c r="I108" s="142">
        <v>0</v>
      </c>
      <c r="J108" s="142">
        <v>0</v>
      </c>
      <c r="K108" s="142">
        <v>0</v>
      </c>
    </row>
    <row r="109" spans="1:11">
      <c r="A109" s="142"/>
      <c r="B109" s="142">
        <v>0</v>
      </c>
      <c r="C109" s="142">
        <v>0</v>
      </c>
      <c r="D109" s="142" t="e">
        <v>#NAME?</v>
      </c>
      <c r="E109" s="142">
        <v>0</v>
      </c>
      <c r="F109" s="142">
        <v>0</v>
      </c>
      <c r="G109" s="142">
        <v>0</v>
      </c>
      <c r="H109" s="142">
        <v>0</v>
      </c>
      <c r="I109" s="142">
        <v>0</v>
      </c>
      <c r="J109" s="142">
        <v>0</v>
      </c>
      <c r="K109" s="142">
        <v>0</v>
      </c>
    </row>
    <row r="110" spans="1:11">
      <c r="A110" s="142"/>
      <c r="B110" s="142">
        <v>0</v>
      </c>
      <c r="C110" s="142">
        <v>0</v>
      </c>
      <c r="D110" s="142" t="e">
        <v>#NAME?</v>
      </c>
      <c r="E110" s="142">
        <v>0</v>
      </c>
      <c r="F110" s="142">
        <v>0</v>
      </c>
      <c r="G110" s="142">
        <v>0</v>
      </c>
      <c r="H110" s="142">
        <v>0</v>
      </c>
      <c r="I110" s="142">
        <v>0</v>
      </c>
      <c r="J110" s="142">
        <v>0</v>
      </c>
      <c r="K110" s="142">
        <v>0</v>
      </c>
    </row>
    <row r="111" spans="1:11">
      <c r="A111" s="142"/>
      <c r="B111" s="142">
        <v>0</v>
      </c>
      <c r="C111" s="142">
        <v>0</v>
      </c>
      <c r="D111" s="142" t="e">
        <v>#NAME?</v>
      </c>
      <c r="E111" s="142">
        <v>0</v>
      </c>
      <c r="F111" s="142">
        <v>0</v>
      </c>
      <c r="G111" s="142">
        <v>0</v>
      </c>
      <c r="H111" s="142">
        <v>0</v>
      </c>
      <c r="I111" s="142">
        <v>0</v>
      </c>
      <c r="J111" s="142">
        <v>0</v>
      </c>
      <c r="K111" s="142">
        <v>0</v>
      </c>
    </row>
    <row r="112" spans="1:11">
      <c r="A112" s="142"/>
      <c r="B112" s="142">
        <v>0</v>
      </c>
      <c r="C112" s="142">
        <v>0</v>
      </c>
      <c r="D112" s="142" t="e">
        <v>#NAME?</v>
      </c>
      <c r="E112" s="142">
        <v>0</v>
      </c>
      <c r="F112" s="142">
        <v>0</v>
      </c>
      <c r="G112" s="142">
        <v>0</v>
      </c>
      <c r="H112" s="142">
        <v>0</v>
      </c>
      <c r="I112" s="142">
        <v>0</v>
      </c>
      <c r="J112" s="142">
        <v>0</v>
      </c>
      <c r="K112" s="142">
        <v>0</v>
      </c>
    </row>
    <row r="113" spans="1:11">
      <c r="A113" s="142"/>
      <c r="B113" s="142">
        <v>0</v>
      </c>
      <c r="C113" s="142">
        <v>0</v>
      </c>
      <c r="D113" s="142" t="e">
        <v>#NAME?</v>
      </c>
      <c r="E113" s="142">
        <v>0</v>
      </c>
      <c r="F113" s="142">
        <v>0</v>
      </c>
      <c r="G113" s="142">
        <v>0</v>
      </c>
      <c r="H113" s="142">
        <v>0</v>
      </c>
      <c r="I113" s="142">
        <v>0</v>
      </c>
      <c r="J113" s="142">
        <v>0</v>
      </c>
      <c r="K113" s="142">
        <v>0</v>
      </c>
    </row>
    <row r="114" spans="1:11">
      <c r="A114" s="142"/>
      <c r="B114" s="142">
        <v>0</v>
      </c>
      <c r="C114" s="142">
        <v>0</v>
      </c>
      <c r="D114" s="142" t="e">
        <v>#NAME?</v>
      </c>
      <c r="E114" s="142">
        <v>0</v>
      </c>
      <c r="F114" s="142">
        <v>0</v>
      </c>
      <c r="G114" s="142">
        <v>0</v>
      </c>
      <c r="H114" s="142">
        <v>0</v>
      </c>
      <c r="I114" s="142">
        <v>0</v>
      </c>
      <c r="J114" s="142">
        <v>0</v>
      </c>
      <c r="K114" s="142">
        <v>0</v>
      </c>
    </row>
    <row r="115" spans="1:11">
      <c r="A115" s="142"/>
      <c r="B115" s="142">
        <v>0</v>
      </c>
      <c r="C115" s="142">
        <v>0</v>
      </c>
      <c r="D115" s="142" t="e">
        <v>#NAME?</v>
      </c>
      <c r="E115" s="142">
        <v>0</v>
      </c>
      <c r="F115" s="142">
        <v>0</v>
      </c>
      <c r="G115" s="142">
        <v>0</v>
      </c>
      <c r="H115" s="142">
        <v>0</v>
      </c>
      <c r="I115" s="142">
        <v>0</v>
      </c>
      <c r="J115" s="142">
        <v>0</v>
      </c>
      <c r="K115" s="142">
        <v>0</v>
      </c>
    </row>
    <row r="116" spans="1:11">
      <c r="A116" s="142"/>
      <c r="B116" s="142">
        <v>0</v>
      </c>
      <c r="C116" s="142">
        <v>0</v>
      </c>
      <c r="D116" s="142" t="e">
        <v>#NAME?</v>
      </c>
      <c r="E116" s="142">
        <v>0</v>
      </c>
      <c r="F116" s="142">
        <v>0</v>
      </c>
      <c r="G116" s="142">
        <v>0</v>
      </c>
      <c r="H116" s="142">
        <v>0</v>
      </c>
      <c r="I116" s="142">
        <v>0</v>
      </c>
      <c r="J116" s="142">
        <v>0</v>
      </c>
      <c r="K116" s="142">
        <v>0</v>
      </c>
    </row>
    <row r="117" spans="1:11">
      <c r="A117" s="142"/>
      <c r="B117" s="142">
        <v>0</v>
      </c>
      <c r="C117" s="142">
        <v>0</v>
      </c>
      <c r="D117" s="142" t="e">
        <v>#NAME?</v>
      </c>
      <c r="E117" s="142">
        <v>0</v>
      </c>
      <c r="F117" s="142">
        <v>0</v>
      </c>
      <c r="G117" s="142">
        <v>0</v>
      </c>
      <c r="H117" s="142">
        <v>0</v>
      </c>
      <c r="I117" s="142">
        <v>0</v>
      </c>
      <c r="J117" s="142">
        <v>0</v>
      </c>
      <c r="K117" s="142">
        <v>0</v>
      </c>
    </row>
    <row r="118" spans="1:11">
      <c r="A118" s="142"/>
      <c r="B118" s="142">
        <v>0</v>
      </c>
      <c r="C118" s="142">
        <v>0</v>
      </c>
      <c r="D118" s="142" t="e">
        <v>#NAME?</v>
      </c>
      <c r="E118" s="142">
        <v>0</v>
      </c>
      <c r="F118" s="142">
        <v>0</v>
      </c>
      <c r="G118" s="142">
        <v>0</v>
      </c>
      <c r="H118" s="142">
        <v>0</v>
      </c>
      <c r="I118" s="142">
        <v>0</v>
      </c>
      <c r="J118" s="142">
        <v>0</v>
      </c>
      <c r="K118" s="142">
        <v>0</v>
      </c>
    </row>
    <row r="119" spans="1:11">
      <c r="A119" s="142"/>
      <c r="B119" s="142">
        <v>0</v>
      </c>
      <c r="C119" s="142">
        <v>0</v>
      </c>
      <c r="D119" s="142" t="e">
        <v>#NAME?</v>
      </c>
      <c r="E119" s="142">
        <v>0</v>
      </c>
      <c r="F119" s="142">
        <v>0</v>
      </c>
      <c r="G119" s="142">
        <v>0</v>
      </c>
      <c r="H119" s="142">
        <v>0</v>
      </c>
      <c r="I119" s="142">
        <v>0</v>
      </c>
      <c r="J119" s="142">
        <v>0</v>
      </c>
      <c r="K119" s="142">
        <v>0</v>
      </c>
    </row>
    <row r="120" spans="1:11">
      <c r="A120" s="142"/>
      <c r="B120" s="142">
        <v>0</v>
      </c>
      <c r="C120" s="142">
        <v>0</v>
      </c>
      <c r="D120" s="142" t="e">
        <v>#NAME?</v>
      </c>
      <c r="E120" s="142">
        <v>0</v>
      </c>
      <c r="F120" s="142">
        <v>0</v>
      </c>
      <c r="G120" s="142">
        <v>0</v>
      </c>
      <c r="H120" s="142">
        <v>0</v>
      </c>
      <c r="I120" s="142">
        <v>0</v>
      </c>
      <c r="J120" s="142">
        <v>0</v>
      </c>
      <c r="K120" s="142">
        <v>0</v>
      </c>
    </row>
    <row r="121" spans="1:11">
      <c r="A121" s="142"/>
      <c r="B121" s="142">
        <v>0</v>
      </c>
      <c r="C121" s="142">
        <v>0</v>
      </c>
      <c r="D121" s="142" t="e">
        <v>#NAME?</v>
      </c>
      <c r="E121" s="142">
        <v>0</v>
      </c>
      <c r="F121" s="142">
        <v>0</v>
      </c>
      <c r="G121" s="142">
        <v>0</v>
      </c>
      <c r="H121" s="142">
        <v>0</v>
      </c>
      <c r="I121" s="142">
        <v>0</v>
      </c>
      <c r="J121" s="142">
        <v>0</v>
      </c>
      <c r="K121" s="142">
        <v>0</v>
      </c>
    </row>
    <row r="122" spans="1:11">
      <c r="A122" s="142"/>
      <c r="B122" s="142">
        <v>0</v>
      </c>
      <c r="C122" s="142">
        <v>0</v>
      </c>
      <c r="D122" s="142" t="e">
        <v>#NAME?</v>
      </c>
      <c r="E122" s="142">
        <v>0</v>
      </c>
      <c r="F122" s="142">
        <v>0</v>
      </c>
      <c r="G122" s="142">
        <v>0</v>
      </c>
      <c r="H122" s="142">
        <v>0</v>
      </c>
      <c r="I122" s="142">
        <v>0</v>
      </c>
      <c r="J122" s="142">
        <v>0</v>
      </c>
      <c r="K122" s="142">
        <v>0</v>
      </c>
    </row>
    <row r="123" spans="1:11">
      <c r="A123" s="142"/>
      <c r="B123" s="142">
        <v>0</v>
      </c>
      <c r="C123" s="142">
        <v>0</v>
      </c>
      <c r="D123" s="142" t="e">
        <v>#NAME?</v>
      </c>
      <c r="E123" s="142">
        <v>0</v>
      </c>
      <c r="F123" s="142">
        <v>0</v>
      </c>
      <c r="G123" s="142">
        <v>0</v>
      </c>
      <c r="H123" s="142">
        <v>0</v>
      </c>
      <c r="I123" s="142">
        <v>0</v>
      </c>
      <c r="J123" s="142">
        <v>0</v>
      </c>
      <c r="K123" s="142">
        <v>0</v>
      </c>
    </row>
    <row r="124" spans="1:11">
      <c r="A124" s="142"/>
      <c r="B124" s="142">
        <v>0</v>
      </c>
      <c r="C124" s="142">
        <v>0</v>
      </c>
      <c r="D124" s="142" t="e">
        <v>#NAME?</v>
      </c>
      <c r="E124" s="142">
        <v>0</v>
      </c>
      <c r="F124" s="142">
        <v>0</v>
      </c>
      <c r="G124" s="142">
        <v>0</v>
      </c>
      <c r="H124" s="142">
        <v>0</v>
      </c>
      <c r="I124" s="142">
        <v>0</v>
      </c>
      <c r="J124" s="142">
        <v>0</v>
      </c>
      <c r="K124" s="142">
        <v>0</v>
      </c>
    </row>
    <row r="125" spans="1:11">
      <c r="A125" s="142"/>
      <c r="B125" s="142">
        <v>0</v>
      </c>
      <c r="C125" s="142">
        <v>0</v>
      </c>
      <c r="D125" s="142" t="e">
        <v>#NAME?</v>
      </c>
      <c r="E125" s="142">
        <v>0</v>
      </c>
      <c r="F125" s="142">
        <v>0</v>
      </c>
      <c r="G125" s="142">
        <v>0</v>
      </c>
      <c r="H125" s="142">
        <v>0</v>
      </c>
      <c r="I125" s="142">
        <v>0</v>
      </c>
      <c r="J125" s="142">
        <v>0</v>
      </c>
      <c r="K125" s="142">
        <v>0</v>
      </c>
    </row>
    <row r="126" spans="1:11">
      <c r="A126" s="142"/>
      <c r="B126" s="142">
        <v>0</v>
      </c>
      <c r="C126" s="142">
        <v>0</v>
      </c>
      <c r="D126" s="142" t="e">
        <v>#NAME?</v>
      </c>
      <c r="E126" s="142">
        <v>0</v>
      </c>
      <c r="F126" s="142">
        <v>0</v>
      </c>
      <c r="G126" s="142">
        <v>0</v>
      </c>
      <c r="H126" s="142">
        <v>0</v>
      </c>
      <c r="I126" s="142">
        <v>0</v>
      </c>
      <c r="J126" s="142">
        <v>0</v>
      </c>
      <c r="K126" s="142">
        <v>0</v>
      </c>
    </row>
    <row r="127" spans="1:11">
      <c r="A127" s="142"/>
      <c r="B127" s="142">
        <v>0</v>
      </c>
      <c r="C127" s="142">
        <v>0</v>
      </c>
      <c r="D127" s="142" t="e">
        <v>#NAME?</v>
      </c>
      <c r="E127" s="142">
        <v>0</v>
      </c>
      <c r="F127" s="142">
        <v>0</v>
      </c>
      <c r="G127" s="142">
        <v>0</v>
      </c>
      <c r="H127" s="142">
        <v>0</v>
      </c>
      <c r="I127" s="142">
        <v>0</v>
      </c>
      <c r="J127" s="142">
        <v>0</v>
      </c>
      <c r="K127" s="142">
        <v>0</v>
      </c>
    </row>
    <row r="128" spans="1:11">
      <c r="A128" s="142"/>
      <c r="B128" s="142">
        <v>0</v>
      </c>
      <c r="C128" s="142">
        <v>0</v>
      </c>
      <c r="D128" s="142" t="e">
        <v>#NAME?</v>
      </c>
      <c r="E128" s="142">
        <v>0</v>
      </c>
      <c r="F128" s="142">
        <v>0</v>
      </c>
      <c r="G128" s="142">
        <v>0</v>
      </c>
      <c r="H128" s="142">
        <v>0</v>
      </c>
      <c r="I128" s="142">
        <v>0</v>
      </c>
      <c r="J128" s="142">
        <v>0</v>
      </c>
      <c r="K128" s="142">
        <v>0</v>
      </c>
    </row>
    <row r="129" spans="1:11">
      <c r="A129" s="142"/>
      <c r="B129" s="142">
        <v>0</v>
      </c>
      <c r="C129" s="142">
        <v>0</v>
      </c>
      <c r="D129" s="142" t="e">
        <v>#NAME?</v>
      </c>
      <c r="E129" s="142">
        <v>0</v>
      </c>
      <c r="F129" s="142">
        <v>0</v>
      </c>
      <c r="G129" s="142">
        <v>0</v>
      </c>
      <c r="H129" s="142">
        <v>0</v>
      </c>
      <c r="I129" s="142">
        <v>0</v>
      </c>
      <c r="J129" s="142">
        <v>0</v>
      </c>
      <c r="K129" s="142">
        <v>0</v>
      </c>
    </row>
    <row r="130" spans="1:11">
      <c r="A130" s="142"/>
      <c r="B130" s="142">
        <v>0</v>
      </c>
      <c r="C130" s="142">
        <v>0</v>
      </c>
      <c r="D130" s="142" t="e">
        <v>#NAME?</v>
      </c>
      <c r="E130" s="142">
        <v>0</v>
      </c>
      <c r="F130" s="142">
        <v>0</v>
      </c>
      <c r="G130" s="142">
        <v>0</v>
      </c>
      <c r="H130" s="142">
        <v>0</v>
      </c>
      <c r="I130" s="142">
        <v>0</v>
      </c>
      <c r="J130" s="142">
        <v>0</v>
      </c>
      <c r="K130" s="142">
        <v>0</v>
      </c>
    </row>
    <row r="131" spans="1:11">
      <c r="A131" s="142"/>
      <c r="B131" s="142">
        <v>0</v>
      </c>
      <c r="C131" s="142">
        <v>0</v>
      </c>
      <c r="D131" s="142" t="e">
        <v>#NAME?</v>
      </c>
      <c r="E131" s="142">
        <v>0</v>
      </c>
      <c r="F131" s="142">
        <v>0</v>
      </c>
      <c r="G131" s="142">
        <v>0</v>
      </c>
      <c r="H131" s="142">
        <v>0</v>
      </c>
      <c r="I131" s="142">
        <v>0</v>
      </c>
      <c r="J131" s="142">
        <v>0</v>
      </c>
      <c r="K131" s="142">
        <v>0</v>
      </c>
    </row>
    <row r="132" spans="1:11">
      <c r="A132" s="142"/>
      <c r="B132" s="142">
        <v>0</v>
      </c>
      <c r="C132" s="142">
        <v>0</v>
      </c>
      <c r="D132" s="142" t="e">
        <v>#NAME?</v>
      </c>
      <c r="E132" s="142">
        <v>0</v>
      </c>
      <c r="F132" s="142">
        <v>0</v>
      </c>
      <c r="G132" s="142">
        <v>0</v>
      </c>
      <c r="H132" s="142">
        <v>0</v>
      </c>
      <c r="I132" s="142">
        <v>0</v>
      </c>
      <c r="J132" s="142">
        <v>0</v>
      </c>
      <c r="K132" s="142">
        <v>0</v>
      </c>
    </row>
    <row r="133" spans="1:11">
      <c r="A133" s="142"/>
      <c r="B133" s="142">
        <v>0</v>
      </c>
      <c r="C133" s="142">
        <v>0</v>
      </c>
      <c r="D133" s="142" t="e">
        <v>#NAME?</v>
      </c>
      <c r="E133" s="142">
        <v>0</v>
      </c>
      <c r="F133" s="142">
        <v>0</v>
      </c>
      <c r="G133" s="142">
        <v>0</v>
      </c>
      <c r="H133" s="142">
        <v>0</v>
      </c>
      <c r="I133" s="142">
        <v>0</v>
      </c>
      <c r="J133" s="142">
        <v>0</v>
      </c>
      <c r="K133" s="142">
        <v>0</v>
      </c>
    </row>
    <row r="134" spans="1:11">
      <c r="A134" s="142"/>
      <c r="B134" s="142">
        <v>0</v>
      </c>
      <c r="C134" s="142">
        <v>0</v>
      </c>
      <c r="D134" s="142" t="e">
        <v>#NAME?</v>
      </c>
      <c r="E134" s="142">
        <v>0</v>
      </c>
      <c r="F134" s="142">
        <v>0</v>
      </c>
      <c r="G134" s="142">
        <v>0</v>
      </c>
      <c r="H134" s="142">
        <v>0</v>
      </c>
      <c r="I134" s="142">
        <v>0</v>
      </c>
      <c r="J134" s="142">
        <v>0</v>
      </c>
      <c r="K134" s="142">
        <v>0</v>
      </c>
    </row>
    <row r="135" spans="1:11">
      <c r="A135" s="142"/>
      <c r="B135" s="142">
        <v>0</v>
      </c>
      <c r="C135" s="142">
        <v>0</v>
      </c>
      <c r="D135" s="142" t="e">
        <v>#NAME?</v>
      </c>
      <c r="E135" s="142">
        <v>0</v>
      </c>
      <c r="F135" s="142">
        <v>0</v>
      </c>
      <c r="G135" s="142">
        <v>0</v>
      </c>
      <c r="H135" s="142">
        <v>0</v>
      </c>
      <c r="I135" s="142">
        <v>0</v>
      </c>
      <c r="J135" s="142">
        <v>0</v>
      </c>
      <c r="K135" s="142">
        <v>0</v>
      </c>
    </row>
    <row r="136" spans="1:11">
      <c r="A136" s="142"/>
      <c r="B136" s="142">
        <v>0</v>
      </c>
      <c r="C136" s="142">
        <v>0</v>
      </c>
      <c r="D136" s="142" t="e">
        <v>#NAME?</v>
      </c>
      <c r="E136" s="142">
        <v>0</v>
      </c>
      <c r="F136" s="142">
        <v>0</v>
      </c>
      <c r="G136" s="142">
        <v>0</v>
      </c>
      <c r="H136" s="142">
        <v>0</v>
      </c>
      <c r="I136" s="142">
        <v>0</v>
      </c>
      <c r="J136" s="142">
        <v>0</v>
      </c>
      <c r="K136" s="142">
        <v>0</v>
      </c>
    </row>
    <row r="137" spans="1:11">
      <c r="A137" s="142"/>
      <c r="B137" s="142">
        <v>0</v>
      </c>
      <c r="C137" s="142">
        <v>0</v>
      </c>
      <c r="D137" s="142" t="e">
        <v>#NAME?</v>
      </c>
      <c r="E137" s="142">
        <v>0</v>
      </c>
      <c r="F137" s="142">
        <v>0</v>
      </c>
      <c r="G137" s="142">
        <v>0</v>
      </c>
      <c r="H137" s="142">
        <v>0</v>
      </c>
      <c r="I137" s="142">
        <v>0</v>
      </c>
      <c r="J137" s="142">
        <v>0</v>
      </c>
      <c r="K137" s="142">
        <v>0</v>
      </c>
    </row>
    <row r="138" spans="1:11">
      <c r="A138" s="142"/>
      <c r="B138" s="142">
        <v>0</v>
      </c>
      <c r="C138" s="142">
        <v>0</v>
      </c>
      <c r="D138" s="142" t="e">
        <v>#NAME?</v>
      </c>
      <c r="E138" s="142">
        <v>0</v>
      </c>
      <c r="F138" s="142">
        <v>0</v>
      </c>
      <c r="G138" s="142">
        <v>0</v>
      </c>
      <c r="H138" s="142">
        <v>0</v>
      </c>
      <c r="I138" s="142">
        <v>0</v>
      </c>
      <c r="J138" s="142">
        <v>0</v>
      </c>
      <c r="K138" s="142">
        <v>0</v>
      </c>
    </row>
    <row r="139" spans="1:11">
      <c r="A139" s="142"/>
      <c r="B139" s="142">
        <v>0</v>
      </c>
      <c r="C139" s="142">
        <v>0</v>
      </c>
      <c r="D139" s="142" t="e">
        <v>#NAME?</v>
      </c>
      <c r="E139" s="142">
        <v>0</v>
      </c>
      <c r="F139" s="142">
        <v>0</v>
      </c>
      <c r="G139" s="142">
        <v>0</v>
      </c>
      <c r="H139" s="142">
        <v>0</v>
      </c>
      <c r="I139" s="142">
        <v>0</v>
      </c>
      <c r="J139" s="142">
        <v>0</v>
      </c>
      <c r="K139" s="142">
        <v>0</v>
      </c>
    </row>
    <row r="140" spans="1:11">
      <c r="A140" s="142"/>
      <c r="B140" s="142">
        <v>0</v>
      </c>
      <c r="C140" s="142">
        <v>0</v>
      </c>
      <c r="D140" s="142" t="e">
        <v>#NAME?</v>
      </c>
      <c r="E140" s="142">
        <v>0</v>
      </c>
      <c r="F140" s="142">
        <v>0</v>
      </c>
      <c r="G140" s="142">
        <v>0</v>
      </c>
      <c r="H140" s="142">
        <v>0</v>
      </c>
      <c r="I140" s="142">
        <v>0</v>
      </c>
      <c r="J140" s="142">
        <v>0</v>
      </c>
      <c r="K140" s="142">
        <v>0</v>
      </c>
    </row>
    <row r="141" spans="1:11">
      <c r="A141" s="142"/>
      <c r="B141" s="142">
        <v>0</v>
      </c>
      <c r="C141" s="142">
        <v>0</v>
      </c>
      <c r="D141" s="142" t="e">
        <v>#NAME?</v>
      </c>
      <c r="E141" s="142">
        <v>0</v>
      </c>
      <c r="F141" s="142">
        <v>0</v>
      </c>
      <c r="G141" s="142">
        <v>0</v>
      </c>
      <c r="H141" s="142">
        <v>0</v>
      </c>
      <c r="I141" s="142">
        <v>0</v>
      </c>
      <c r="J141" s="142">
        <v>0</v>
      </c>
      <c r="K141" s="142">
        <v>0</v>
      </c>
    </row>
    <row r="142" spans="1:11">
      <c r="A142" s="142"/>
      <c r="B142" s="142">
        <v>0</v>
      </c>
      <c r="C142" s="142">
        <v>0</v>
      </c>
      <c r="D142" s="142" t="e">
        <v>#NAME?</v>
      </c>
      <c r="E142" s="142">
        <v>0</v>
      </c>
      <c r="F142" s="142">
        <v>0</v>
      </c>
      <c r="G142" s="142">
        <v>0</v>
      </c>
      <c r="H142" s="142">
        <v>0</v>
      </c>
      <c r="I142" s="142">
        <v>0</v>
      </c>
      <c r="J142" s="142">
        <v>0</v>
      </c>
      <c r="K142" s="142">
        <v>0</v>
      </c>
    </row>
    <row r="143" spans="1:11">
      <c r="A143" s="142"/>
      <c r="B143" s="142">
        <v>0</v>
      </c>
      <c r="C143" s="142">
        <v>0</v>
      </c>
      <c r="D143" s="142" t="e">
        <v>#NAME?</v>
      </c>
      <c r="E143" s="142">
        <v>0</v>
      </c>
      <c r="F143" s="142">
        <v>0</v>
      </c>
      <c r="G143" s="142">
        <v>0</v>
      </c>
      <c r="H143" s="142">
        <v>0</v>
      </c>
      <c r="I143" s="142">
        <v>0</v>
      </c>
      <c r="J143" s="142">
        <v>0</v>
      </c>
      <c r="K143" s="142">
        <v>0</v>
      </c>
    </row>
    <row r="144" spans="1:11">
      <c r="A144" s="142"/>
      <c r="B144" s="142">
        <v>0</v>
      </c>
      <c r="C144" s="142">
        <v>0</v>
      </c>
      <c r="D144" s="142" t="e">
        <v>#NAME?</v>
      </c>
      <c r="E144" s="142">
        <v>0</v>
      </c>
      <c r="F144" s="142">
        <v>0</v>
      </c>
      <c r="G144" s="142">
        <v>0</v>
      </c>
      <c r="H144" s="142">
        <v>0</v>
      </c>
      <c r="I144" s="142">
        <v>0</v>
      </c>
      <c r="J144" s="142">
        <v>0</v>
      </c>
      <c r="K144" s="142">
        <v>0</v>
      </c>
    </row>
    <row r="145" spans="1:11">
      <c r="A145" s="142"/>
      <c r="B145" s="142">
        <v>0</v>
      </c>
      <c r="C145" s="142">
        <v>0</v>
      </c>
      <c r="D145" s="142" t="e">
        <v>#NAME?</v>
      </c>
      <c r="E145" s="142">
        <v>0</v>
      </c>
      <c r="F145" s="142">
        <v>0</v>
      </c>
      <c r="G145" s="142">
        <v>0</v>
      </c>
      <c r="H145" s="142">
        <v>0</v>
      </c>
      <c r="I145" s="142">
        <v>0</v>
      </c>
      <c r="J145" s="142">
        <v>0</v>
      </c>
      <c r="K145" s="142">
        <v>0</v>
      </c>
    </row>
    <row r="146" spans="1:11">
      <c r="A146" s="142"/>
      <c r="B146" s="142">
        <v>0</v>
      </c>
      <c r="C146" s="142">
        <v>0</v>
      </c>
      <c r="D146" s="142" t="e">
        <v>#NAME?</v>
      </c>
      <c r="E146" s="142">
        <v>0</v>
      </c>
      <c r="F146" s="142">
        <v>0</v>
      </c>
      <c r="G146" s="142">
        <v>0</v>
      </c>
      <c r="H146" s="142">
        <v>0</v>
      </c>
      <c r="I146" s="142">
        <v>0</v>
      </c>
      <c r="J146" s="142">
        <v>0</v>
      </c>
      <c r="K146" s="142">
        <v>0</v>
      </c>
    </row>
    <row r="147" spans="1:11">
      <c r="A147" s="142"/>
      <c r="B147" s="142">
        <v>0</v>
      </c>
      <c r="C147" s="142">
        <v>0</v>
      </c>
      <c r="D147" s="142" t="e">
        <v>#NAME?</v>
      </c>
      <c r="E147" s="142">
        <v>0</v>
      </c>
      <c r="F147" s="142">
        <v>0</v>
      </c>
      <c r="G147" s="142">
        <v>0</v>
      </c>
      <c r="H147" s="142">
        <v>0</v>
      </c>
      <c r="I147" s="142">
        <v>0</v>
      </c>
      <c r="J147" s="142">
        <v>0</v>
      </c>
      <c r="K147" s="142">
        <v>0</v>
      </c>
    </row>
    <row r="148" spans="1:11">
      <c r="A148" s="142"/>
      <c r="B148" s="142">
        <v>0</v>
      </c>
      <c r="C148" s="142">
        <v>0</v>
      </c>
      <c r="D148" s="142" t="e">
        <v>#NAME?</v>
      </c>
      <c r="E148" s="142">
        <v>0</v>
      </c>
      <c r="F148" s="142">
        <v>0</v>
      </c>
      <c r="G148" s="142">
        <v>0</v>
      </c>
      <c r="H148" s="142">
        <v>0</v>
      </c>
      <c r="I148" s="142">
        <v>0</v>
      </c>
      <c r="J148" s="142">
        <v>0</v>
      </c>
      <c r="K148" s="142">
        <v>0</v>
      </c>
    </row>
    <row r="149" spans="1:11">
      <c r="A149" s="142"/>
      <c r="B149" s="142">
        <v>0</v>
      </c>
      <c r="C149" s="142">
        <v>0</v>
      </c>
      <c r="D149" s="142" t="e">
        <v>#NAME?</v>
      </c>
      <c r="E149" s="142">
        <v>0</v>
      </c>
      <c r="F149" s="142">
        <v>0</v>
      </c>
      <c r="G149" s="142">
        <v>0</v>
      </c>
      <c r="H149" s="142">
        <v>0</v>
      </c>
      <c r="I149" s="142">
        <v>0</v>
      </c>
      <c r="J149" s="142">
        <v>0</v>
      </c>
      <c r="K149" s="142">
        <v>0</v>
      </c>
    </row>
    <row r="150" spans="1:11">
      <c r="A150" s="142"/>
      <c r="B150" s="142">
        <v>0</v>
      </c>
      <c r="C150" s="142">
        <v>0</v>
      </c>
      <c r="D150" s="142" t="e">
        <v>#NAME?</v>
      </c>
      <c r="E150" s="142">
        <v>0</v>
      </c>
      <c r="F150" s="142">
        <v>0</v>
      </c>
      <c r="G150" s="142">
        <v>0</v>
      </c>
      <c r="H150" s="142">
        <v>0</v>
      </c>
      <c r="I150" s="142">
        <v>0</v>
      </c>
      <c r="J150" s="142">
        <v>0</v>
      </c>
      <c r="K150" s="142">
        <v>0</v>
      </c>
    </row>
    <row r="151" spans="1:11">
      <c r="A151" s="142"/>
      <c r="B151" s="142">
        <v>0</v>
      </c>
      <c r="C151" s="142">
        <v>0</v>
      </c>
      <c r="D151" s="142" t="e">
        <v>#NAME?</v>
      </c>
      <c r="E151" s="142">
        <v>0</v>
      </c>
      <c r="F151" s="142">
        <v>0</v>
      </c>
      <c r="G151" s="142">
        <v>0</v>
      </c>
      <c r="H151" s="142">
        <v>0</v>
      </c>
      <c r="I151" s="142">
        <v>0</v>
      </c>
      <c r="J151" s="142">
        <v>0</v>
      </c>
      <c r="K151" s="142">
        <v>0</v>
      </c>
    </row>
    <row r="152" spans="1:11">
      <c r="A152" s="142"/>
      <c r="B152" s="142">
        <v>0</v>
      </c>
      <c r="C152" s="142">
        <v>0</v>
      </c>
      <c r="D152" s="142" t="e">
        <v>#NAME?</v>
      </c>
      <c r="E152" s="142">
        <v>0</v>
      </c>
      <c r="F152" s="142">
        <v>0</v>
      </c>
      <c r="G152" s="142">
        <v>0</v>
      </c>
      <c r="H152" s="142">
        <v>0</v>
      </c>
      <c r="I152" s="142">
        <v>0</v>
      </c>
      <c r="J152" s="142">
        <v>0</v>
      </c>
      <c r="K152" s="142">
        <v>0</v>
      </c>
    </row>
    <row r="153" spans="1:11">
      <c r="A153" s="142"/>
      <c r="B153" s="142">
        <v>0</v>
      </c>
      <c r="C153" s="142">
        <v>0</v>
      </c>
      <c r="D153" s="142" t="e">
        <v>#NAME?</v>
      </c>
      <c r="E153" s="142">
        <v>0</v>
      </c>
      <c r="F153" s="142">
        <v>0</v>
      </c>
      <c r="G153" s="142">
        <v>0</v>
      </c>
      <c r="H153" s="142">
        <v>0</v>
      </c>
      <c r="I153" s="142">
        <v>0</v>
      </c>
      <c r="J153" s="142">
        <v>0</v>
      </c>
      <c r="K153" s="142">
        <v>0</v>
      </c>
    </row>
    <row r="154" spans="1:11">
      <c r="A154" s="142"/>
      <c r="B154" s="142">
        <v>0</v>
      </c>
      <c r="C154" s="142">
        <v>0</v>
      </c>
      <c r="D154" s="142" t="e">
        <v>#NAME?</v>
      </c>
      <c r="E154" s="142">
        <v>0</v>
      </c>
      <c r="F154" s="142">
        <v>0</v>
      </c>
      <c r="G154" s="142">
        <v>0</v>
      </c>
      <c r="H154" s="142">
        <v>0</v>
      </c>
      <c r="I154" s="142">
        <v>0</v>
      </c>
      <c r="J154" s="142">
        <v>0</v>
      </c>
      <c r="K154" s="142">
        <v>0</v>
      </c>
    </row>
    <row r="155" spans="1:11">
      <c r="A155" s="142"/>
      <c r="B155" s="142">
        <v>0</v>
      </c>
      <c r="C155" s="142">
        <v>0</v>
      </c>
      <c r="D155" s="142" t="e">
        <v>#NAME?</v>
      </c>
      <c r="E155" s="142">
        <v>0</v>
      </c>
      <c r="F155" s="142">
        <v>0</v>
      </c>
      <c r="G155" s="142">
        <v>0</v>
      </c>
      <c r="H155" s="142">
        <v>0</v>
      </c>
      <c r="I155" s="142">
        <v>0</v>
      </c>
      <c r="J155" s="142">
        <v>0</v>
      </c>
      <c r="K155" s="142">
        <v>0</v>
      </c>
    </row>
    <row r="156" spans="1:11">
      <c r="A156" s="142"/>
      <c r="B156" s="142">
        <v>0</v>
      </c>
      <c r="C156" s="142">
        <v>0</v>
      </c>
      <c r="D156" s="142" t="e">
        <v>#NAME?</v>
      </c>
      <c r="E156" s="142">
        <v>0</v>
      </c>
      <c r="F156" s="142">
        <v>0</v>
      </c>
      <c r="G156" s="142">
        <v>0</v>
      </c>
      <c r="H156" s="142">
        <v>0</v>
      </c>
      <c r="I156" s="142">
        <v>0</v>
      </c>
      <c r="J156" s="142">
        <v>0</v>
      </c>
      <c r="K156" s="142">
        <v>0</v>
      </c>
    </row>
    <row r="157" spans="1:11">
      <c r="A157" s="142"/>
      <c r="B157" s="142">
        <v>0</v>
      </c>
      <c r="C157" s="142">
        <v>0</v>
      </c>
      <c r="D157" s="142" t="e">
        <v>#NAME?</v>
      </c>
      <c r="E157" s="142">
        <v>0</v>
      </c>
      <c r="F157" s="142">
        <v>0</v>
      </c>
      <c r="G157" s="142">
        <v>0</v>
      </c>
      <c r="H157" s="142">
        <v>0</v>
      </c>
      <c r="I157" s="142">
        <v>0</v>
      </c>
      <c r="J157" s="142">
        <v>0</v>
      </c>
      <c r="K157" s="142">
        <v>0</v>
      </c>
    </row>
    <row r="158" spans="1:11">
      <c r="A158" s="142"/>
      <c r="B158" s="142">
        <v>0</v>
      </c>
      <c r="C158" s="142">
        <v>0</v>
      </c>
      <c r="D158" s="142" t="e">
        <v>#NAME?</v>
      </c>
      <c r="E158" s="142">
        <v>0</v>
      </c>
      <c r="F158" s="142">
        <v>0</v>
      </c>
      <c r="G158" s="142">
        <v>0</v>
      </c>
      <c r="H158" s="142">
        <v>0</v>
      </c>
      <c r="I158" s="142">
        <v>0</v>
      </c>
      <c r="J158" s="142">
        <v>0</v>
      </c>
      <c r="K158" s="142">
        <v>0</v>
      </c>
    </row>
    <row r="159" spans="1:11">
      <c r="A159" s="142"/>
      <c r="B159" s="142">
        <v>0</v>
      </c>
      <c r="C159" s="142">
        <v>0</v>
      </c>
      <c r="D159" s="142" t="e">
        <v>#NAME?</v>
      </c>
      <c r="E159" s="142">
        <v>0</v>
      </c>
      <c r="F159" s="142">
        <v>0</v>
      </c>
      <c r="G159" s="142">
        <v>0</v>
      </c>
      <c r="H159" s="142">
        <v>0</v>
      </c>
      <c r="I159" s="142">
        <v>0</v>
      </c>
      <c r="J159" s="142">
        <v>0</v>
      </c>
      <c r="K159" s="142">
        <v>0</v>
      </c>
    </row>
    <row r="160" spans="1:11">
      <c r="A160" s="142"/>
      <c r="B160" s="142">
        <v>0</v>
      </c>
      <c r="C160" s="142">
        <v>0</v>
      </c>
      <c r="D160" s="142" t="e">
        <v>#NAME?</v>
      </c>
      <c r="E160" s="142">
        <v>0</v>
      </c>
      <c r="F160" s="142">
        <v>0</v>
      </c>
      <c r="G160" s="142">
        <v>0</v>
      </c>
      <c r="H160" s="142">
        <v>0</v>
      </c>
      <c r="I160" s="142">
        <v>0</v>
      </c>
      <c r="J160" s="142">
        <v>0</v>
      </c>
      <c r="K160" s="142">
        <v>0</v>
      </c>
    </row>
    <row r="161" spans="1:11">
      <c r="A161" s="142"/>
      <c r="B161" s="142">
        <v>0</v>
      </c>
      <c r="C161" s="142">
        <v>0</v>
      </c>
      <c r="D161" s="142" t="e">
        <v>#NAME?</v>
      </c>
      <c r="E161" s="142">
        <v>0</v>
      </c>
      <c r="F161" s="142">
        <v>0</v>
      </c>
      <c r="G161" s="142">
        <v>0</v>
      </c>
      <c r="H161" s="142">
        <v>0</v>
      </c>
      <c r="I161" s="142">
        <v>0</v>
      </c>
      <c r="J161" s="142">
        <v>0</v>
      </c>
      <c r="K161" s="142">
        <v>0</v>
      </c>
    </row>
    <row r="162" spans="1:11">
      <c r="A162" s="142"/>
      <c r="B162" s="142">
        <v>0</v>
      </c>
      <c r="C162" s="142">
        <v>0</v>
      </c>
      <c r="D162" s="142" t="e">
        <v>#NAME?</v>
      </c>
      <c r="E162" s="142">
        <v>0</v>
      </c>
      <c r="F162" s="142">
        <v>0</v>
      </c>
      <c r="G162" s="142">
        <v>0</v>
      </c>
      <c r="H162" s="142">
        <v>0</v>
      </c>
      <c r="I162" s="142">
        <v>0</v>
      </c>
      <c r="J162" s="142">
        <v>0</v>
      </c>
      <c r="K162" s="142">
        <v>0</v>
      </c>
    </row>
    <row r="163" spans="1:11">
      <c r="A163" s="142"/>
      <c r="B163" s="142">
        <v>0</v>
      </c>
      <c r="C163" s="142">
        <v>0</v>
      </c>
      <c r="D163" s="142" t="e">
        <v>#NAME?</v>
      </c>
      <c r="E163" s="142">
        <v>0</v>
      </c>
      <c r="F163" s="142">
        <v>0</v>
      </c>
      <c r="G163" s="142">
        <v>0</v>
      </c>
      <c r="H163" s="142">
        <v>0</v>
      </c>
      <c r="I163" s="142">
        <v>0</v>
      </c>
      <c r="J163" s="142">
        <v>0</v>
      </c>
      <c r="K163" s="142">
        <v>0</v>
      </c>
    </row>
    <row r="164" spans="1:11">
      <c r="A164" s="142"/>
      <c r="B164" s="142">
        <v>0</v>
      </c>
      <c r="C164" s="142">
        <v>0</v>
      </c>
      <c r="D164" s="142" t="e">
        <v>#NAME?</v>
      </c>
      <c r="E164" s="142">
        <v>0</v>
      </c>
      <c r="F164" s="142">
        <v>0</v>
      </c>
      <c r="G164" s="142">
        <v>0</v>
      </c>
      <c r="H164" s="142">
        <v>0</v>
      </c>
      <c r="I164" s="142">
        <v>0</v>
      </c>
      <c r="J164" s="142">
        <v>0</v>
      </c>
      <c r="K164" s="142">
        <v>0</v>
      </c>
    </row>
    <row r="165" spans="1:11">
      <c r="A165" s="142"/>
      <c r="B165" s="142">
        <v>0</v>
      </c>
      <c r="C165" s="142">
        <v>0</v>
      </c>
      <c r="D165" s="142" t="e">
        <v>#NAME?</v>
      </c>
      <c r="E165" s="142">
        <v>0</v>
      </c>
      <c r="F165" s="142">
        <v>0</v>
      </c>
      <c r="G165" s="142">
        <v>0</v>
      </c>
      <c r="H165" s="142">
        <v>0</v>
      </c>
      <c r="I165" s="142">
        <v>0</v>
      </c>
      <c r="J165" s="142">
        <v>0</v>
      </c>
      <c r="K165" s="142">
        <v>0</v>
      </c>
    </row>
    <row r="166" spans="1:11">
      <c r="A166" s="142"/>
      <c r="B166" s="142">
        <v>0</v>
      </c>
      <c r="C166" s="142">
        <v>0</v>
      </c>
      <c r="D166" s="142" t="e">
        <v>#NAME?</v>
      </c>
      <c r="E166" s="142">
        <v>0</v>
      </c>
      <c r="F166" s="142">
        <v>0</v>
      </c>
      <c r="G166" s="142">
        <v>0</v>
      </c>
      <c r="H166" s="142">
        <v>0</v>
      </c>
      <c r="I166" s="142">
        <v>0</v>
      </c>
      <c r="J166" s="142">
        <v>0</v>
      </c>
      <c r="K166" s="142">
        <v>0</v>
      </c>
    </row>
    <row r="167" spans="1:11">
      <c r="A167" s="142"/>
      <c r="B167" s="142">
        <v>0</v>
      </c>
      <c r="C167" s="142">
        <v>0</v>
      </c>
      <c r="D167" s="142" t="e">
        <v>#NAME?</v>
      </c>
      <c r="E167" s="142">
        <v>0</v>
      </c>
      <c r="F167" s="142">
        <v>0</v>
      </c>
      <c r="G167" s="142">
        <v>0</v>
      </c>
      <c r="H167" s="142">
        <v>0</v>
      </c>
      <c r="I167" s="142">
        <v>0</v>
      </c>
      <c r="J167" s="142">
        <v>0</v>
      </c>
      <c r="K167" s="142">
        <v>0</v>
      </c>
    </row>
    <row r="168" spans="1:11">
      <c r="A168" s="142"/>
      <c r="B168" s="142">
        <v>0</v>
      </c>
      <c r="C168" s="142">
        <v>0</v>
      </c>
      <c r="D168" s="142" t="e">
        <v>#NAME?</v>
      </c>
      <c r="E168" s="142">
        <v>0</v>
      </c>
      <c r="F168" s="142">
        <v>0</v>
      </c>
      <c r="G168" s="142">
        <v>0</v>
      </c>
      <c r="H168" s="142">
        <v>0</v>
      </c>
      <c r="I168" s="142">
        <v>0</v>
      </c>
      <c r="J168" s="142">
        <v>0</v>
      </c>
      <c r="K168" s="142">
        <v>0</v>
      </c>
    </row>
    <row r="169" spans="1:11">
      <c r="A169" s="142"/>
      <c r="B169" s="142">
        <v>0</v>
      </c>
      <c r="C169" s="142">
        <v>0</v>
      </c>
      <c r="D169" s="142" t="e">
        <v>#NAME?</v>
      </c>
      <c r="E169" s="142">
        <v>0</v>
      </c>
      <c r="F169" s="142">
        <v>0</v>
      </c>
      <c r="G169" s="142">
        <v>0</v>
      </c>
      <c r="H169" s="142">
        <v>0</v>
      </c>
      <c r="I169" s="142">
        <v>0</v>
      </c>
      <c r="J169" s="142">
        <v>0</v>
      </c>
      <c r="K169" s="142">
        <v>0</v>
      </c>
    </row>
    <row r="170" spans="1:11">
      <c r="A170" s="142"/>
      <c r="B170" s="142">
        <v>0</v>
      </c>
      <c r="C170" s="142">
        <v>0</v>
      </c>
      <c r="D170" s="142" t="e">
        <v>#NAME?</v>
      </c>
      <c r="E170" s="142">
        <v>0</v>
      </c>
      <c r="F170" s="142">
        <v>0</v>
      </c>
      <c r="G170" s="142">
        <v>0</v>
      </c>
      <c r="H170" s="142">
        <v>0</v>
      </c>
      <c r="I170" s="142">
        <v>0</v>
      </c>
      <c r="J170" s="142">
        <v>0</v>
      </c>
      <c r="K170" s="142">
        <v>0</v>
      </c>
    </row>
    <row r="171" spans="1:11">
      <c r="A171" s="142"/>
      <c r="B171" s="142">
        <v>0</v>
      </c>
      <c r="C171" s="142">
        <v>0</v>
      </c>
      <c r="D171" s="142" t="e">
        <v>#NAME?</v>
      </c>
      <c r="E171" s="142">
        <v>0</v>
      </c>
      <c r="F171" s="142">
        <v>0</v>
      </c>
      <c r="G171" s="142">
        <v>0</v>
      </c>
      <c r="H171" s="142">
        <v>0</v>
      </c>
      <c r="I171" s="142">
        <v>0</v>
      </c>
      <c r="J171" s="142">
        <v>0</v>
      </c>
      <c r="K171" s="142">
        <v>0</v>
      </c>
    </row>
    <row r="172" spans="1:11">
      <c r="A172" s="142"/>
      <c r="B172" s="142">
        <v>0</v>
      </c>
      <c r="C172" s="142">
        <v>0</v>
      </c>
      <c r="D172" s="142" t="e">
        <v>#NAME?</v>
      </c>
      <c r="E172" s="142">
        <v>0</v>
      </c>
      <c r="F172" s="142">
        <v>0</v>
      </c>
      <c r="G172" s="142">
        <v>0</v>
      </c>
      <c r="H172" s="142">
        <v>0</v>
      </c>
      <c r="I172" s="142">
        <v>0</v>
      </c>
      <c r="J172" s="142">
        <v>0</v>
      </c>
      <c r="K172" s="142">
        <v>0</v>
      </c>
    </row>
    <row r="173" spans="1:11">
      <c r="A173" s="142"/>
      <c r="B173" s="142">
        <v>0</v>
      </c>
      <c r="C173" s="142">
        <v>0</v>
      </c>
      <c r="D173" s="142" t="e">
        <v>#NAME?</v>
      </c>
      <c r="E173" s="142">
        <v>0</v>
      </c>
      <c r="F173" s="142">
        <v>0</v>
      </c>
      <c r="G173" s="142">
        <v>0</v>
      </c>
      <c r="H173" s="142">
        <v>0</v>
      </c>
      <c r="I173" s="142">
        <v>0</v>
      </c>
      <c r="J173" s="142">
        <v>0</v>
      </c>
      <c r="K173" s="142">
        <v>0</v>
      </c>
    </row>
    <row r="174" spans="1:11">
      <c r="A174" s="142"/>
      <c r="B174" s="142">
        <v>0</v>
      </c>
      <c r="C174" s="142">
        <v>0</v>
      </c>
      <c r="D174" s="142" t="e">
        <v>#NAME?</v>
      </c>
      <c r="E174" s="142">
        <v>0</v>
      </c>
      <c r="F174" s="142">
        <v>0</v>
      </c>
      <c r="G174" s="142">
        <v>0</v>
      </c>
      <c r="H174" s="142">
        <v>0</v>
      </c>
      <c r="I174" s="142">
        <v>0</v>
      </c>
      <c r="J174" s="142">
        <v>0</v>
      </c>
      <c r="K174" s="142">
        <v>0</v>
      </c>
    </row>
    <row r="175" spans="1:11">
      <c r="A175" s="142"/>
      <c r="B175" s="142">
        <v>0</v>
      </c>
      <c r="C175" s="142">
        <v>0</v>
      </c>
      <c r="D175" s="142" t="e">
        <v>#NAME?</v>
      </c>
      <c r="E175" s="142">
        <v>0</v>
      </c>
      <c r="F175" s="142">
        <v>0</v>
      </c>
      <c r="G175" s="142">
        <v>0</v>
      </c>
      <c r="H175" s="142">
        <v>0</v>
      </c>
      <c r="I175" s="142">
        <v>0</v>
      </c>
      <c r="J175" s="142">
        <v>0</v>
      </c>
      <c r="K175" s="142">
        <v>0</v>
      </c>
    </row>
    <row r="176" spans="1:11">
      <c r="A176" s="142"/>
      <c r="B176" s="142">
        <v>0</v>
      </c>
      <c r="C176" s="142">
        <v>0</v>
      </c>
      <c r="D176" s="142" t="e">
        <v>#NAME?</v>
      </c>
      <c r="E176" s="142">
        <v>0</v>
      </c>
      <c r="F176" s="142">
        <v>0</v>
      </c>
      <c r="G176" s="142">
        <v>0</v>
      </c>
      <c r="H176" s="142">
        <v>0</v>
      </c>
      <c r="I176" s="142">
        <v>0</v>
      </c>
      <c r="J176" s="142">
        <v>0</v>
      </c>
      <c r="K176" s="142">
        <v>0</v>
      </c>
    </row>
    <row r="177" spans="1:11">
      <c r="A177" s="142"/>
      <c r="B177" s="142">
        <v>0</v>
      </c>
      <c r="C177" s="142">
        <v>0</v>
      </c>
      <c r="D177" s="142" t="e">
        <v>#NAME?</v>
      </c>
      <c r="E177" s="142">
        <v>0</v>
      </c>
      <c r="F177" s="142">
        <v>0</v>
      </c>
      <c r="G177" s="142">
        <v>0</v>
      </c>
      <c r="H177" s="142">
        <v>0</v>
      </c>
      <c r="I177" s="142">
        <v>0</v>
      </c>
      <c r="J177" s="142">
        <v>0</v>
      </c>
      <c r="K177" s="142">
        <v>0</v>
      </c>
    </row>
    <row r="178" spans="1:11">
      <c r="A178" s="142"/>
      <c r="B178" s="142">
        <v>0</v>
      </c>
      <c r="C178" s="142">
        <v>0</v>
      </c>
      <c r="D178" s="142" t="e">
        <v>#NAME?</v>
      </c>
      <c r="E178" s="142">
        <v>0</v>
      </c>
      <c r="F178" s="142">
        <v>0</v>
      </c>
      <c r="G178" s="142">
        <v>0</v>
      </c>
      <c r="H178" s="142">
        <v>0</v>
      </c>
      <c r="I178" s="142">
        <v>0</v>
      </c>
      <c r="J178" s="142">
        <v>0</v>
      </c>
      <c r="K178" s="142">
        <v>0</v>
      </c>
    </row>
    <row r="179" spans="1:11">
      <c r="A179" s="142"/>
      <c r="B179" s="142">
        <v>0</v>
      </c>
      <c r="C179" s="142">
        <v>0</v>
      </c>
      <c r="D179" s="142" t="e">
        <v>#NAME?</v>
      </c>
      <c r="E179" s="142">
        <v>0</v>
      </c>
      <c r="F179" s="142">
        <v>0</v>
      </c>
      <c r="G179" s="142">
        <v>0</v>
      </c>
      <c r="H179" s="142">
        <v>0</v>
      </c>
      <c r="I179" s="142">
        <v>0</v>
      </c>
      <c r="J179" s="142">
        <v>0</v>
      </c>
      <c r="K179" s="142">
        <v>0</v>
      </c>
    </row>
    <row r="180" spans="1:11">
      <c r="A180" s="142"/>
      <c r="B180" s="142">
        <v>0</v>
      </c>
      <c r="C180" s="142">
        <v>0</v>
      </c>
      <c r="D180" s="142" t="e">
        <v>#NAME?</v>
      </c>
      <c r="E180" s="142">
        <v>0</v>
      </c>
      <c r="F180" s="142">
        <v>0</v>
      </c>
      <c r="G180" s="142">
        <v>0</v>
      </c>
      <c r="H180" s="142">
        <v>0</v>
      </c>
      <c r="I180" s="142">
        <v>0</v>
      </c>
      <c r="J180" s="142">
        <v>0</v>
      </c>
      <c r="K180" s="142">
        <v>0</v>
      </c>
    </row>
    <row r="181" spans="1:11">
      <c r="A181" s="142"/>
      <c r="B181" s="142">
        <v>0</v>
      </c>
      <c r="C181" s="142">
        <v>0</v>
      </c>
      <c r="D181" s="142" t="e">
        <v>#NAME?</v>
      </c>
      <c r="E181" s="142">
        <v>0</v>
      </c>
      <c r="F181" s="142">
        <v>0</v>
      </c>
      <c r="G181" s="142">
        <v>0</v>
      </c>
      <c r="H181" s="142">
        <v>0</v>
      </c>
      <c r="I181" s="142">
        <v>0</v>
      </c>
      <c r="J181" s="142">
        <v>0</v>
      </c>
      <c r="K181" s="142">
        <v>0</v>
      </c>
    </row>
    <row r="182" spans="1:11">
      <c r="A182" s="142"/>
      <c r="B182" s="142">
        <v>0</v>
      </c>
      <c r="C182" s="142">
        <v>0</v>
      </c>
      <c r="D182" s="142" t="e">
        <v>#NAME?</v>
      </c>
      <c r="E182" s="142">
        <v>0</v>
      </c>
      <c r="F182" s="142">
        <v>0</v>
      </c>
      <c r="G182" s="142">
        <v>0</v>
      </c>
      <c r="H182" s="142">
        <v>0</v>
      </c>
      <c r="I182" s="142">
        <v>0</v>
      </c>
      <c r="J182" s="142">
        <v>0</v>
      </c>
      <c r="K182" s="142">
        <v>0</v>
      </c>
    </row>
    <row r="183" spans="1:11">
      <c r="A183" s="142"/>
      <c r="B183" s="142">
        <v>0</v>
      </c>
      <c r="C183" s="142">
        <v>0</v>
      </c>
      <c r="D183" s="142" t="e">
        <v>#NAME?</v>
      </c>
      <c r="E183" s="142">
        <v>0</v>
      </c>
      <c r="F183" s="142">
        <v>0</v>
      </c>
      <c r="G183" s="142">
        <v>0</v>
      </c>
      <c r="H183" s="142">
        <v>0</v>
      </c>
      <c r="I183" s="142">
        <v>0</v>
      </c>
      <c r="J183" s="142">
        <v>0</v>
      </c>
      <c r="K183" s="142">
        <v>0</v>
      </c>
    </row>
    <row r="184" spans="1:11">
      <c r="A184" s="142"/>
      <c r="B184" s="142">
        <v>0</v>
      </c>
      <c r="C184" s="142">
        <v>0</v>
      </c>
      <c r="D184" s="142" t="e">
        <v>#NAME?</v>
      </c>
      <c r="E184" s="142">
        <v>0</v>
      </c>
      <c r="F184" s="142">
        <v>0</v>
      </c>
      <c r="G184" s="142">
        <v>0</v>
      </c>
      <c r="H184" s="142">
        <v>0</v>
      </c>
      <c r="I184" s="142">
        <v>0</v>
      </c>
      <c r="J184" s="142">
        <v>0</v>
      </c>
      <c r="K184" s="142">
        <v>0</v>
      </c>
    </row>
    <row r="185" spans="1:11">
      <c r="A185" s="142"/>
      <c r="B185" s="142">
        <v>0</v>
      </c>
      <c r="C185" s="142">
        <v>0</v>
      </c>
      <c r="D185" s="142" t="e">
        <v>#NAME?</v>
      </c>
      <c r="E185" s="142">
        <v>0</v>
      </c>
      <c r="F185" s="142">
        <v>0</v>
      </c>
      <c r="G185" s="142">
        <v>0</v>
      </c>
      <c r="H185" s="142">
        <v>0</v>
      </c>
      <c r="I185" s="142">
        <v>0</v>
      </c>
      <c r="J185" s="142">
        <v>0</v>
      </c>
      <c r="K185" s="142">
        <v>0</v>
      </c>
    </row>
    <row r="186" spans="1:11">
      <c r="A186" s="142"/>
      <c r="B186" s="142">
        <v>0</v>
      </c>
      <c r="C186" s="142">
        <v>0</v>
      </c>
      <c r="D186" s="142" t="e">
        <v>#NAME?</v>
      </c>
      <c r="E186" s="142">
        <v>0</v>
      </c>
      <c r="F186" s="142">
        <v>0</v>
      </c>
      <c r="G186" s="142">
        <v>0</v>
      </c>
      <c r="H186" s="142">
        <v>0</v>
      </c>
      <c r="I186" s="142">
        <v>0</v>
      </c>
      <c r="J186" s="142">
        <v>0</v>
      </c>
      <c r="K186" s="142">
        <v>0</v>
      </c>
    </row>
    <row r="187" spans="1:11">
      <c r="A187" s="142"/>
      <c r="B187" s="142">
        <v>0</v>
      </c>
      <c r="C187" s="142">
        <v>0</v>
      </c>
      <c r="D187" s="142" t="e">
        <v>#NAME?</v>
      </c>
      <c r="E187" s="142">
        <v>0</v>
      </c>
      <c r="F187" s="142">
        <v>0</v>
      </c>
      <c r="G187" s="142">
        <v>0</v>
      </c>
      <c r="H187" s="142">
        <v>0</v>
      </c>
      <c r="I187" s="142">
        <v>0</v>
      </c>
      <c r="J187" s="142">
        <v>0</v>
      </c>
      <c r="K187" s="142">
        <v>0</v>
      </c>
    </row>
    <row r="188" spans="1:11">
      <c r="A188" s="142"/>
      <c r="B188" s="142">
        <v>0</v>
      </c>
      <c r="C188" s="142">
        <v>0</v>
      </c>
      <c r="D188" s="142" t="e">
        <v>#NAME?</v>
      </c>
      <c r="E188" s="142">
        <v>0</v>
      </c>
      <c r="F188" s="142">
        <v>0</v>
      </c>
      <c r="G188" s="142">
        <v>0</v>
      </c>
      <c r="H188" s="142">
        <v>0</v>
      </c>
      <c r="I188" s="142">
        <v>0</v>
      </c>
      <c r="J188" s="142">
        <v>0</v>
      </c>
      <c r="K188" s="142">
        <v>0</v>
      </c>
    </row>
    <row r="189" spans="1:11">
      <c r="A189" s="142"/>
      <c r="B189" s="142">
        <v>0</v>
      </c>
      <c r="C189" s="142">
        <v>0</v>
      </c>
      <c r="D189" s="142" t="e">
        <v>#NAME?</v>
      </c>
      <c r="E189" s="142">
        <v>0</v>
      </c>
      <c r="F189" s="142">
        <v>0</v>
      </c>
      <c r="G189" s="142">
        <v>0</v>
      </c>
      <c r="H189" s="142">
        <v>0</v>
      </c>
      <c r="I189" s="142">
        <v>0</v>
      </c>
      <c r="J189" s="142">
        <v>0</v>
      </c>
      <c r="K189" s="142">
        <v>0</v>
      </c>
    </row>
    <row r="190" spans="1:11">
      <c r="A190" s="142"/>
      <c r="B190" s="142">
        <v>0</v>
      </c>
      <c r="C190" s="142">
        <v>0</v>
      </c>
      <c r="D190" s="142" t="e">
        <v>#NAME?</v>
      </c>
      <c r="E190" s="142">
        <v>0</v>
      </c>
      <c r="F190" s="142">
        <v>0</v>
      </c>
      <c r="G190" s="142">
        <v>0</v>
      </c>
      <c r="H190" s="142">
        <v>0</v>
      </c>
      <c r="I190" s="142">
        <v>0</v>
      </c>
      <c r="J190" s="142">
        <v>0</v>
      </c>
      <c r="K190" s="142">
        <v>0</v>
      </c>
    </row>
    <row r="191" spans="1:11">
      <c r="A191" s="142"/>
      <c r="B191" s="142">
        <v>0</v>
      </c>
      <c r="C191" s="142">
        <v>0</v>
      </c>
      <c r="D191" s="142" t="e">
        <v>#NAME?</v>
      </c>
      <c r="E191" s="142">
        <v>0</v>
      </c>
      <c r="F191" s="142">
        <v>0</v>
      </c>
      <c r="G191" s="142">
        <v>0</v>
      </c>
      <c r="H191" s="142">
        <v>0</v>
      </c>
      <c r="I191" s="142">
        <v>0</v>
      </c>
      <c r="J191" s="142">
        <v>0</v>
      </c>
      <c r="K191" s="142">
        <v>0</v>
      </c>
    </row>
    <row r="192" spans="1:11">
      <c r="A192" s="142"/>
      <c r="B192" s="142">
        <v>0</v>
      </c>
      <c r="C192" s="142">
        <v>0</v>
      </c>
      <c r="D192" s="142" t="e">
        <v>#NAME?</v>
      </c>
      <c r="E192" s="142">
        <v>0</v>
      </c>
      <c r="F192" s="142">
        <v>0</v>
      </c>
      <c r="G192" s="142">
        <v>0</v>
      </c>
      <c r="H192" s="142">
        <v>0</v>
      </c>
      <c r="I192" s="142">
        <v>0</v>
      </c>
      <c r="J192" s="142">
        <v>0</v>
      </c>
      <c r="K192" s="142">
        <v>0</v>
      </c>
    </row>
    <row r="193" spans="1:11">
      <c r="A193" s="142"/>
      <c r="B193" s="142">
        <v>0</v>
      </c>
      <c r="C193" s="142">
        <v>0</v>
      </c>
      <c r="D193" s="142" t="e">
        <v>#NAME?</v>
      </c>
      <c r="E193" s="142">
        <v>0</v>
      </c>
      <c r="F193" s="142">
        <v>0</v>
      </c>
      <c r="G193" s="142">
        <v>0</v>
      </c>
      <c r="H193" s="142">
        <v>0</v>
      </c>
      <c r="I193" s="142">
        <v>0</v>
      </c>
      <c r="J193" s="142">
        <v>0</v>
      </c>
      <c r="K193" s="142">
        <v>0</v>
      </c>
    </row>
    <row r="194" spans="1:11">
      <c r="A194" s="142"/>
      <c r="B194" s="142">
        <v>0</v>
      </c>
      <c r="C194" s="142">
        <v>0</v>
      </c>
      <c r="D194" s="142" t="e">
        <v>#NAME?</v>
      </c>
      <c r="E194" s="142">
        <v>0</v>
      </c>
      <c r="F194" s="142">
        <v>0</v>
      </c>
      <c r="G194" s="142">
        <v>0</v>
      </c>
      <c r="H194" s="142">
        <v>0</v>
      </c>
      <c r="I194" s="142">
        <v>0</v>
      </c>
      <c r="J194" s="142">
        <v>0</v>
      </c>
      <c r="K194" s="142">
        <v>0</v>
      </c>
    </row>
    <row r="195" spans="1:11">
      <c r="A195" s="142"/>
      <c r="B195" s="142">
        <v>0</v>
      </c>
      <c r="C195" s="142">
        <v>0</v>
      </c>
      <c r="D195" s="142" t="e">
        <v>#NAME?</v>
      </c>
      <c r="E195" s="142">
        <v>0</v>
      </c>
      <c r="F195" s="142">
        <v>0</v>
      </c>
      <c r="G195" s="142">
        <v>0</v>
      </c>
      <c r="H195" s="142">
        <v>0</v>
      </c>
      <c r="I195" s="142">
        <v>0</v>
      </c>
      <c r="J195" s="142">
        <v>0</v>
      </c>
      <c r="K195" s="142">
        <v>0</v>
      </c>
    </row>
    <row r="196" spans="1:11">
      <c r="A196" s="142"/>
      <c r="B196" s="142">
        <v>0</v>
      </c>
      <c r="C196" s="142">
        <v>0</v>
      </c>
      <c r="D196" s="142" t="e">
        <v>#NAME?</v>
      </c>
      <c r="E196" s="142">
        <v>0</v>
      </c>
      <c r="F196" s="142">
        <v>0</v>
      </c>
      <c r="G196" s="142">
        <v>0</v>
      </c>
      <c r="H196" s="142">
        <v>0</v>
      </c>
      <c r="I196" s="142">
        <v>0</v>
      </c>
      <c r="J196" s="142">
        <v>0</v>
      </c>
      <c r="K196" s="142">
        <v>0</v>
      </c>
    </row>
    <row r="197" spans="1:11">
      <c r="A197" s="142"/>
      <c r="B197" s="142">
        <v>0</v>
      </c>
      <c r="C197" s="142">
        <v>0</v>
      </c>
      <c r="D197" s="142" t="e">
        <v>#NAME?</v>
      </c>
      <c r="E197" s="142">
        <v>0</v>
      </c>
      <c r="F197" s="142">
        <v>0</v>
      </c>
      <c r="G197" s="142">
        <v>0</v>
      </c>
      <c r="H197" s="142">
        <v>0</v>
      </c>
      <c r="I197" s="142">
        <v>0</v>
      </c>
      <c r="J197" s="142">
        <v>0</v>
      </c>
      <c r="K197" s="142">
        <v>0</v>
      </c>
    </row>
    <row r="198" spans="1:11">
      <c r="A198" s="142"/>
      <c r="B198" s="142">
        <v>0</v>
      </c>
      <c r="C198" s="142">
        <v>0</v>
      </c>
      <c r="D198" s="142" t="e">
        <v>#NAME?</v>
      </c>
      <c r="E198" s="142">
        <v>0</v>
      </c>
      <c r="F198" s="142">
        <v>0</v>
      </c>
      <c r="G198" s="142">
        <v>0</v>
      </c>
      <c r="H198" s="142">
        <v>0</v>
      </c>
      <c r="I198" s="142">
        <v>0</v>
      </c>
      <c r="J198" s="142">
        <v>0</v>
      </c>
      <c r="K198" s="142">
        <v>0</v>
      </c>
    </row>
    <row r="199" spans="1:11">
      <c r="A199" s="142"/>
      <c r="B199" s="142">
        <v>0</v>
      </c>
      <c r="C199" s="142">
        <v>0</v>
      </c>
      <c r="D199" s="142" t="e">
        <v>#NAME?</v>
      </c>
      <c r="E199" s="142">
        <v>0</v>
      </c>
      <c r="F199" s="142">
        <v>0</v>
      </c>
      <c r="G199" s="142">
        <v>0</v>
      </c>
      <c r="H199" s="142">
        <v>0</v>
      </c>
      <c r="I199" s="142">
        <v>0</v>
      </c>
      <c r="J199" s="142">
        <v>0</v>
      </c>
      <c r="K199" s="142">
        <v>0</v>
      </c>
    </row>
    <row r="200" spans="1:11">
      <c r="A200" s="142"/>
      <c r="B200" s="142">
        <v>0</v>
      </c>
      <c r="C200" s="142">
        <v>0</v>
      </c>
      <c r="D200" s="142" t="e">
        <v>#NAME?</v>
      </c>
      <c r="E200" s="142">
        <v>0</v>
      </c>
      <c r="F200" s="142">
        <v>0</v>
      </c>
      <c r="G200" s="142">
        <v>0</v>
      </c>
      <c r="H200" s="142">
        <v>0</v>
      </c>
      <c r="I200" s="142">
        <v>0</v>
      </c>
      <c r="J200" s="142">
        <v>0</v>
      </c>
      <c r="K200" s="142">
        <v>0</v>
      </c>
    </row>
    <row r="201" spans="1:11">
      <c r="A201" s="142"/>
      <c r="B201" s="142">
        <v>0</v>
      </c>
      <c r="C201" s="142">
        <v>0</v>
      </c>
      <c r="D201" s="142" t="e">
        <v>#NAME?</v>
      </c>
      <c r="E201" s="142">
        <v>0</v>
      </c>
      <c r="F201" s="142">
        <v>0</v>
      </c>
      <c r="G201" s="142">
        <v>0</v>
      </c>
      <c r="H201" s="142">
        <v>0</v>
      </c>
      <c r="I201" s="142">
        <v>0</v>
      </c>
      <c r="J201" s="142">
        <v>0</v>
      </c>
      <c r="K201" s="142">
        <v>0</v>
      </c>
    </row>
    <row r="202" spans="1:11">
      <c r="A202" s="142"/>
      <c r="B202" s="142">
        <v>0</v>
      </c>
      <c r="C202" s="142">
        <v>0</v>
      </c>
      <c r="D202" s="142" t="e">
        <v>#NAME?</v>
      </c>
      <c r="E202" s="142">
        <v>0</v>
      </c>
      <c r="F202" s="142">
        <v>0</v>
      </c>
      <c r="G202" s="142">
        <v>0</v>
      </c>
      <c r="H202" s="142">
        <v>0</v>
      </c>
      <c r="I202" s="142">
        <v>0</v>
      </c>
      <c r="J202" s="142">
        <v>0</v>
      </c>
      <c r="K202" s="142">
        <v>0</v>
      </c>
    </row>
    <row r="203" spans="1:11">
      <c r="A203" s="142"/>
      <c r="B203" s="142">
        <v>0</v>
      </c>
      <c r="C203" s="142">
        <v>0</v>
      </c>
      <c r="D203" s="142" t="e">
        <v>#NAME?</v>
      </c>
      <c r="E203" s="142">
        <v>0</v>
      </c>
      <c r="F203" s="142">
        <v>0</v>
      </c>
      <c r="G203" s="142">
        <v>0</v>
      </c>
      <c r="H203" s="142">
        <v>0</v>
      </c>
      <c r="I203" s="142">
        <v>0</v>
      </c>
      <c r="J203" s="142">
        <v>0</v>
      </c>
      <c r="K203" s="142">
        <v>0</v>
      </c>
    </row>
    <row r="204" spans="1:11">
      <c r="A204" s="142"/>
      <c r="B204" s="142">
        <v>0</v>
      </c>
      <c r="C204" s="142">
        <v>0</v>
      </c>
      <c r="D204" s="142" t="e">
        <v>#NAME?</v>
      </c>
      <c r="E204" s="142">
        <v>0</v>
      </c>
      <c r="F204" s="142">
        <v>0</v>
      </c>
      <c r="G204" s="142">
        <v>0</v>
      </c>
      <c r="H204" s="142">
        <v>0</v>
      </c>
      <c r="I204" s="142">
        <v>0</v>
      </c>
      <c r="J204" s="142">
        <v>0</v>
      </c>
      <c r="K204" s="142">
        <v>0</v>
      </c>
    </row>
    <row r="205" spans="1:11">
      <c r="A205" s="142"/>
      <c r="B205" s="142">
        <v>0</v>
      </c>
      <c r="C205" s="142">
        <v>0</v>
      </c>
      <c r="D205" s="142" t="e">
        <v>#NAME?</v>
      </c>
      <c r="E205" s="142">
        <v>0</v>
      </c>
      <c r="F205" s="142">
        <v>0</v>
      </c>
      <c r="G205" s="142">
        <v>0</v>
      </c>
      <c r="H205" s="142">
        <v>0</v>
      </c>
      <c r="I205" s="142">
        <v>0</v>
      </c>
      <c r="J205" s="142">
        <v>0</v>
      </c>
      <c r="K205" s="142">
        <v>0</v>
      </c>
    </row>
    <row r="206" spans="1:11">
      <c r="A206" s="142"/>
      <c r="B206" s="142">
        <v>0</v>
      </c>
      <c r="C206" s="142">
        <v>0</v>
      </c>
      <c r="D206" s="142" t="e">
        <v>#NAME?</v>
      </c>
      <c r="E206" s="142">
        <v>0</v>
      </c>
      <c r="F206" s="142">
        <v>0</v>
      </c>
      <c r="G206" s="142">
        <v>0</v>
      </c>
      <c r="H206" s="142">
        <v>0</v>
      </c>
      <c r="I206" s="142">
        <v>0</v>
      </c>
      <c r="J206" s="142">
        <v>0</v>
      </c>
      <c r="K206" s="142">
        <v>0</v>
      </c>
    </row>
    <row r="207" spans="1:11">
      <c r="A207" s="142"/>
      <c r="B207" s="142">
        <v>0</v>
      </c>
      <c r="C207" s="142">
        <v>0</v>
      </c>
      <c r="D207" s="142" t="e">
        <v>#NAME?</v>
      </c>
      <c r="E207" s="142">
        <v>0</v>
      </c>
      <c r="F207" s="142">
        <v>0</v>
      </c>
      <c r="G207" s="142">
        <v>0</v>
      </c>
      <c r="H207" s="142">
        <v>0</v>
      </c>
      <c r="I207" s="142">
        <v>0</v>
      </c>
      <c r="J207" s="142">
        <v>0</v>
      </c>
      <c r="K207" s="142">
        <v>0</v>
      </c>
    </row>
    <row r="208" spans="1:11">
      <c r="A208" s="142"/>
      <c r="B208" s="142">
        <v>0</v>
      </c>
      <c r="C208" s="142">
        <v>0</v>
      </c>
      <c r="D208" s="142" t="e">
        <v>#NAME?</v>
      </c>
      <c r="E208" s="142">
        <v>0</v>
      </c>
      <c r="F208" s="142">
        <v>0</v>
      </c>
      <c r="G208" s="142">
        <v>0</v>
      </c>
      <c r="H208" s="142">
        <v>0</v>
      </c>
      <c r="I208" s="142">
        <v>0</v>
      </c>
      <c r="J208" s="142">
        <v>0</v>
      </c>
      <c r="K208" s="142">
        <v>0</v>
      </c>
    </row>
    <row r="209" spans="1:11">
      <c r="A209" s="142"/>
      <c r="B209" s="142">
        <v>0</v>
      </c>
      <c r="C209" s="142">
        <v>0</v>
      </c>
      <c r="D209" s="142" t="e">
        <v>#NAME?</v>
      </c>
      <c r="E209" s="142">
        <v>0</v>
      </c>
      <c r="F209" s="142">
        <v>0</v>
      </c>
      <c r="G209" s="142">
        <v>0</v>
      </c>
      <c r="H209" s="142">
        <v>0</v>
      </c>
      <c r="I209" s="142">
        <v>0</v>
      </c>
      <c r="J209" s="142">
        <v>0</v>
      </c>
      <c r="K209" s="142">
        <v>0</v>
      </c>
    </row>
    <row r="210" spans="1:11">
      <c r="A210" s="142"/>
      <c r="B210" s="142">
        <v>0</v>
      </c>
      <c r="C210" s="142">
        <v>0</v>
      </c>
      <c r="D210" s="142" t="e">
        <v>#NAME?</v>
      </c>
      <c r="E210" s="142">
        <v>0</v>
      </c>
      <c r="F210" s="142">
        <v>0</v>
      </c>
      <c r="G210" s="142">
        <v>0</v>
      </c>
      <c r="H210" s="142">
        <v>0</v>
      </c>
      <c r="I210" s="142">
        <v>0</v>
      </c>
      <c r="J210" s="142">
        <v>0</v>
      </c>
      <c r="K210" s="142">
        <v>0</v>
      </c>
    </row>
    <row r="211" spans="1:11">
      <c r="A211" s="142"/>
      <c r="B211" s="142">
        <v>0</v>
      </c>
      <c r="C211" s="142">
        <v>0</v>
      </c>
      <c r="D211" s="142" t="e">
        <v>#NAME?</v>
      </c>
      <c r="E211" s="142">
        <v>0</v>
      </c>
      <c r="F211" s="142">
        <v>0</v>
      </c>
      <c r="G211" s="142">
        <v>0</v>
      </c>
      <c r="H211" s="142">
        <v>0</v>
      </c>
      <c r="I211" s="142">
        <v>0</v>
      </c>
      <c r="J211" s="142">
        <v>0</v>
      </c>
      <c r="K211" s="142">
        <v>0</v>
      </c>
    </row>
    <row r="212" spans="1:11">
      <c r="A212" s="142"/>
      <c r="B212" s="142">
        <v>0</v>
      </c>
      <c r="C212" s="142">
        <v>0</v>
      </c>
      <c r="D212" s="142" t="e">
        <v>#NAME?</v>
      </c>
      <c r="E212" s="142">
        <v>0</v>
      </c>
      <c r="F212" s="142">
        <v>0</v>
      </c>
      <c r="G212" s="142">
        <v>0</v>
      </c>
      <c r="H212" s="142">
        <v>0</v>
      </c>
      <c r="I212" s="142">
        <v>0</v>
      </c>
      <c r="J212" s="142">
        <v>0</v>
      </c>
      <c r="K212" s="142">
        <v>0</v>
      </c>
    </row>
    <row r="213" spans="1:11">
      <c r="A213" s="142"/>
      <c r="B213" s="142">
        <v>0</v>
      </c>
      <c r="C213" s="142">
        <v>0</v>
      </c>
      <c r="D213" s="142" t="e">
        <v>#NAME?</v>
      </c>
      <c r="E213" s="142">
        <v>0</v>
      </c>
      <c r="F213" s="142">
        <v>0</v>
      </c>
      <c r="G213" s="142">
        <v>0</v>
      </c>
      <c r="H213" s="142">
        <v>0</v>
      </c>
      <c r="I213" s="142">
        <v>0</v>
      </c>
      <c r="J213" s="142">
        <v>0</v>
      </c>
      <c r="K213" s="142">
        <v>0</v>
      </c>
    </row>
    <row r="214" spans="1:11">
      <c r="A214" s="142"/>
      <c r="B214" s="142">
        <v>0</v>
      </c>
      <c r="C214" s="142">
        <v>0</v>
      </c>
      <c r="D214" s="142" t="e">
        <v>#NAME?</v>
      </c>
      <c r="E214" s="142">
        <v>0</v>
      </c>
      <c r="F214" s="142">
        <v>0</v>
      </c>
      <c r="G214" s="142">
        <v>0</v>
      </c>
      <c r="H214" s="142">
        <v>0</v>
      </c>
      <c r="I214" s="142">
        <v>0</v>
      </c>
      <c r="J214" s="142">
        <v>0</v>
      </c>
      <c r="K214" s="142">
        <v>0</v>
      </c>
    </row>
    <row r="215" spans="1:11">
      <c r="A215" s="142"/>
      <c r="B215" s="142">
        <v>0</v>
      </c>
      <c r="C215" s="142">
        <v>0</v>
      </c>
      <c r="D215" s="142" t="e">
        <v>#NAME?</v>
      </c>
      <c r="E215" s="142">
        <v>0</v>
      </c>
      <c r="F215" s="142">
        <v>0</v>
      </c>
      <c r="G215" s="142">
        <v>0</v>
      </c>
      <c r="H215" s="142">
        <v>0</v>
      </c>
      <c r="I215" s="142">
        <v>0</v>
      </c>
      <c r="J215" s="142">
        <v>0</v>
      </c>
      <c r="K215" s="142">
        <v>0</v>
      </c>
    </row>
    <row r="216" spans="1:11">
      <c r="A216" s="142"/>
      <c r="B216" s="142">
        <v>0</v>
      </c>
      <c r="C216" s="142">
        <v>0</v>
      </c>
      <c r="D216" s="142" t="e">
        <v>#NAME?</v>
      </c>
      <c r="E216" s="142">
        <v>0</v>
      </c>
      <c r="F216" s="142">
        <v>0</v>
      </c>
      <c r="G216" s="142">
        <v>0</v>
      </c>
      <c r="H216" s="142">
        <v>0</v>
      </c>
      <c r="I216" s="142">
        <v>0</v>
      </c>
      <c r="J216" s="142">
        <v>0</v>
      </c>
      <c r="K216" s="142">
        <v>0</v>
      </c>
    </row>
    <row r="217" spans="1:11">
      <c r="A217" s="142"/>
      <c r="B217" s="142">
        <v>0</v>
      </c>
      <c r="C217" s="142">
        <v>0</v>
      </c>
      <c r="D217" s="142" t="e">
        <v>#NAME?</v>
      </c>
      <c r="E217" s="142">
        <v>0</v>
      </c>
      <c r="F217" s="142">
        <v>0</v>
      </c>
      <c r="G217" s="142">
        <v>0</v>
      </c>
      <c r="H217" s="142">
        <v>0</v>
      </c>
      <c r="I217" s="142">
        <v>0</v>
      </c>
      <c r="J217" s="142">
        <v>0</v>
      </c>
      <c r="K217" s="142">
        <v>0</v>
      </c>
    </row>
    <row r="218" spans="1:11">
      <c r="A218" s="142"/>
      <c r="B218" s="142">
        <v>0</v>
      </c>
      <c r="C218" s="142">
        <v>0</v>
      </c>
      <c r="D218" s="142" t="e">
        <v>#NAME?</v>
      </c>
      <c r="E218" s="142">
        <v>0</v>
      </c>
      <c r="F218" s="142">
        <v>0</v>
      </c>
      <c r="G218" s="142">
        <v>0</v>
      </c>
      <c r="H218" s="142">
        <v>0</v>
      </c>
      <c r="I218" s="142">
        <v>0</v>
      </c>
      <c r="J218" s="142">
        <v>0</v>
      </c>
      <c r="K218" s="142">
        <v>0</v>
      </c>
    </row>
    <row r="219" spans="1:11">
      <c r="A219" s="142"/>
      <c r="B219" s="142">
        <v>0</v>
      </c>
      <c r="C219" s="142">
        <v>0</v>
      </c>
      <c r="D219" s="142" t="e">
        <v>#NAME?</v>
      </c>
      <c r="E219" s="142">
        <v>0</v>
      </c>
      <c r="F219" s="142">
        <v>0</v>
      </c>
      <c r="G219" s="142">
        <v>0</v>
      </c>
      <c r="H219" s="142">
        <v>0</v>
      </c>
      <c r="I219" s="142">
        <v>0</v>
      </c>
      <c r="J219" s="142">
        <v>0</v>
      </c>
      <c r="K219" s="142">
        <v>0</v>
      </c>
    </row>
    <row r="220" spans="1:11">
      <c r="A220" s="142"/>
      <c r="B220" s="142">
        <v>0</v>
      </c>
      <c r="C220" s="142">
        <v>0</v>
      </c>
      <c r="D220" s="142" t="e">
        <v>#NAME?</v>
      </c>
      <c r="E220" s="142">
        <v>0</v>
      </c>
      <c r="F220" s="142">
        <v>0</v>
      </c>
      <c r="G220" s="142">
        <v>0</v>
      </c>
      <c r="H220" s="142">
        <v>0</v>
      </c>
      <c r="I220" s="142">
        <v>0</v>
      </c>
      <c r="J220" s="142">
        <v>0</v>
      </c>
      <c r="K220" s="142">
        <v>0</v>
      </c>
    </row>
    <row r="221" spans="1:11">
      <c r="A221" s="142"/>
      <c r="B221" s="142">
        <v>0</v>
      </c>
      <c r="C221" s="142">
        <v>0</v>
      </c>
      <c r="D221" s="142" t="e">
        <v>#NAME?</v>
      </c>
      <c r="E221" s="142">
        <v>0</v>
      </c>
      <c r="F221" s="142">
        <v>0</v>
      </c>
      <c r="G221" s="142">
        <v>0</v>
      </c>
      <c r="H221" s="142">
        <v>0</v>
      </c>
      <c r="I221" s="142">
        <v>0</v>
      </c>
      <c r="J221" s="142">
        <v>0</v>
      </c>
      <c r="K221" s="142">
        <v>0</v>
      </c>
    </row>
    <row r="222" spans="1:11">
      <c r="A222" s="142"/>
      <c r="B222" s="142">
        <v>0</v>
      </c>
      <c r="C222" s="142">
        <v>0</v>
      </c>
      <c r="D222" s="142" t="e">
        <v>#NAME?</v>
      </c>
      <c r="E222" s="142">
        <v>0</v>
      </c>
      <c r="F222" s="142">
        <v>0</v>
      </c>
      <c r="G222" s="142">
        <v>0</v>
      </c>
      <c r="H222" s="142">
        <v>0</v>
      </c>
      <c r="I222" s="142">
        <v>0</v>
      </c>
      <c r="J222" s="142">
        <v>0</v>
      </c>
      <c r="K222" s="142">
        <v>0</v>
      </c>
    </row>
    <row r="223" spans="1:11">
      <c r="A223" s="142"/>
      <c r="B223" s="142">
        <v>0</v>
      </c>
      <c r="C223" s="142">
        <v>0</v>
      </c>
      <c r="D223" s="142" t="e">
        <v>#NAME?</v>
      </c>
      <c r="E223" s="142">
        <v>0</v>
      </c>
      <c r="F223" s="142">
        <v>0</v>
      </c>
      <c r="G223" s="142">
        <v>0</v>
      </c>
      <c r="H223" s="142">
        <v>0</v>
      </c>
      <c r="I223" s="142">
        <v>0</v>
      </c>
      <c r="J223" s="142">
        <v>0</v>
      </c>
      <c r="K223" s="142">
        <v>0</v>
      </c>
    </row>
    <row r="224" spans="1:11">
      <c r="A224" s="142"/>
      <c r="B224" s="142">
        <v>0</v>
      </c>
      <c r="C224" s="142">
        <v>0</v>
      </c>
      <c r="D224" s="142" t="e">
        <v>#NAME?</v>
      </c>
      <c r="E224" s="142">
        <v>0</v>
      </c>
      <c r="F224" s="142">
        <v>0</v>
      </c>
      <c r="G224" s="142">
        <v>0</v>
      </c>
      <c r="H224" s="142">
        <v>0</v>
      </c>
      <c r="I224" s="142">
        <v>0</v>
      </c>
      <c r="J224" s="142">
        <v>0</v>
      </c>
      <c r="K224" s="142">
        <v>0</v>
      </c>
    </row>
    <row r="225" spans="1:11">
      <c r="A225" s="142"/>
      <c r="B225" s="142">
        <v>0</v>
      </c>
      <c r="C225" s="142">
        <v>0</v>
      </c>
      <c r="D225" s="142" t="e">
        <v>#NAME?</v>
      </c>
      <c r="E225" s="142">
        <v>0</v>
      </c>
      <c r="F225" s="142">
        <v>0</v>
      </c>
      <c r="G225" s="142">
        <v>0</v>
      </c>
      <c r="H225" s="142">
        <v>0</v>
      </c>
      <c r="I225" s="142">
        <v>0</v>
      </c>
      <c r="J225" s="142">
        <v>0</v>
      </c>
      <c r="K225" s="142">
        <v>0</v>
      </c>
    </row>
    <row r="226" spans="1:11">
      <c r="A226" s="142"/>
      <c r="B226" s="142">
        <v>0</v>
      </c>
      <c r="C226" s="142">
        <v>0</v>
      </c>
      <c r="D226" s="142" t="e">
        <v>#NAME?</v>
      </c>
      <c r="E226" s="142">
        <v>0</v>
      </c>
      <c r="F226" s="142">
        <v>0</v>
      </c>
      <c r="G226" s="142">
        <v>0</v>
      </c>
      <c r="H226" s="142">
        <v>0</v>
      </c>
      <c r="I226" s="142">
        <v>0</v>
      </c>
      <c r="J226" s="142">
        <v>0</v>
      </c>
      <c r="K226" s="142">
        <v>0</v>
      </c>
    </row>
    <row r="227" spans="1:11">
      <c r="A227" s="142"/>
      <c r="B227" s="142">
        <v>0</v>
      </c>
      <c r="C227" s="142">
        <v>0</v>
      </c>
      <c r="D227" s="142" t="e">
        <v>#NAME?</v>
      </c>
      <c r="E227" s="142">
        <v>0</v>
      </c>
      <c r="F227" s="142">
        <v>0</v>
      </c>
      <c r="G227" s="142">
        <v>0</v>
      </c>
      <c r="H227" s="142">
        <v>0</v>
      </c>
      <c r="I227" s="142">
        <v>0</v>
      </c>
      <c r="J227" s="142">
        <v>0</v>
      </c>
      <c r="K227" s="142">
        <v>0</v>
      </c>
    </row>
    <row r="228" spans="1:11">
      <c r="A228" s="142"/>
      <c r="B228" s="142">
        <v>0</v>
      </c>
      <c r="C228" s="142">
        <v>0</v>
      </c>
      <c r="D228" s="142" t="e">
        <v>#NAME?</v>
      </c>
      <c r="E228" s="142">
        <v>0</v>
      </c>
      <c r="F228" s="142">
        <v>0</v>
      </c>
      <c r="G228" s="142">
        <v>0</v>
      </c>
      <c r="H228" s="142">
        <v>0</v>
      </c>
      <c r="I228" s="142">
        <v>0</v>
      </c>
      <c r="J228" s="142">
        <v>0</v>
      </c>
      <c r="K228" s="142">
        <v>0</v>
      </c>
    </row>
    <row r="229" spans="1:11">
      <c r="A229" s="142"/>
      <c r="B229" s="142">
        <v>0</v>
      </c>
      <c r="C229" s="142">
        <v>0</v>
      </c>
      <c r="D229" s="142" t="e">
        <v>#NAME?</v>
      </c>
      <c r="E229" s="142">
        <v>0</v>
      </c>
      <c r="F229" s="142">
        <v>0</v>
      </c>
      <c r="G229" s="142">
        <v>0</v>
      </c>
      <c r="H229" s="142">
        <v>0</v>
      </c>
      <c r="I229" s="142">
        <v>0</v>
      </c>
      <c r="J229" s="142">
        <v>0</v>
      </c>
      <c r="K229" s="142">
        <v>0</v>
      </c>
    </row>
    <row r="230" spans="1:11">
      <c r="A230" s="142"/>
      <c r="B230" s="142">
        <v>0</v>
      </c>
      <c r="C230" s="142">
        <v>0</v>
      </c>
      <c r="D230" s="142" t="e">
        <v>#NAME?</v>
      </c>
      <c r="E230" s="142">
        <v>0</v>
      </c>
      <c r="F230" s="142">
        <v>0</v>
      </c>
      <c r="G230" s="142">
        <v>0</v>
      </c>
      <c r="H230" s="142">
        <v>0</v>
      </c>
      <c r="I230" s="142">
        <v>0</v>
      </c>
      <c r="J230" s="142">
        <v>0</v>
      </c>
      <c r="K230" s="142">
        <v>0</v>
      </c>
    </row>
    <row r="231" spans="1:11">
      <c r="A231" s="142"/>
      <c r="B231" s="142">
        <v>0</v>
      </c>
      <c r="C231" s="142">
        <v>0</v>
      </c>
      <c r="D231" s="142" t="e">
        <v>#NAME?</v>
      </c>
      <c r="E231" s="142">
        <v>0</v>
      </c>
      <c r="F231" s="142">
        <v>0</v>
      </c>
      <c r="G231" s="142">
        <v>0</v>
      </c>
      <c r="H231" s="142">
        <v>0</v>
      </c>
      <c r="I231" s="142">
        <v>0</v>
      </c>
      <c r="J231" s="142">
        <v>0</v>
      </c>
      <c r="K231" s="142">
        <v>0</v>
      </c>
    </row>
    <row r="232" spans="1:11">
      <c r="A232" s="142"/>
      <c r="B232" s="142">
        <v>0</v>
      </c>
      <c r="C232" s="142">
        <v>0</v>
      </c>
      <c r="D232" s="142" t="e">
        <v>#NAME?</v>
      </c>
      <c r="E232" s="142">
        <v>0</v>
      </c>
      <c r="F232" s="142">
        <v>0</v>
      </c>
      <c r="G232" s="142">
        <v>0</v>
      </c>
      <c r="H232" s="142">
        <v>0</v>
      </c>
      <c r="I232" s="142">
        <v>0</v>
      </c>
      <c r="J232" s="142">
        <v>0</v>
      </c>
      <c r="K232" s="142">
        <v>0</v>
      </c>
    </row>
    <row r="233" spans="1:11">
      <c r="A233" s="142"/>
      <c r="B233" s="142">
        <v>0</v>
      </c>
      <c r="C233" s="142">
        <v>0</v>
      </c>
      <c r="D233" s="142" t="e">
        <v>#NAME?</v>
      </c>
      <c r="E233" s="142">
        <v>0</v>
      </c>
      <c r="F233" s="142">
        <v>0</v>
      </c>
      <c r="G233" s="142">
        <v>0</v>
      </c>
      <c r="H233" s="142">
        <v>0</v>
      </c>
      <c r="I233" s="142">
        <v>0</v>
      </c>
      <c r="J233" s="142">
        <v>0</v>
      </c>
      <c r="K233" s="142">
        <v>0</v>
      </c>
    </row>
    <row r="234" spans="1:11">
      <c r="A234" s="142"/>
      <c r="B234" s="142">
        <v>0</v>
      </c>
      <c r="C234" s="142">
        <v>0</v>
      </c>
      <c r="D234" s="142" t="e">
        <v>#NAME?</v>
      </c>
      <c r="E234" s="142">
        <v>0</v>
      </c>
      <c r="F234" s="142">
        <v>0</v>
      </c>
      <c r="G234" s="142">
        <v>0</v>
      </c>
      <c r="H234" s="142">
        <v>0</v>
      </c>
      <c r="I234" s="142">
        <v>0</v>
      </c>
      <c r="J234" s="142">
        <v>0</v>
      </c>
      <c r="K234" s="142">
        <v>0</v>
      </c>
    </row>
    <row r="235" spans="1:11">
      <c r="A235" s="142"/>
      <c r="B235" s="142">
        <v>0</v>
      </c>
      <c r="C235" s="142">
        <v>0</v>
      </c>
      <c r="D235" s="142" t="e">
        <v>#NAME?</v>
      </c>
      <c r="E235" s="142">
        <v>0</v>
      </c>
      <c r="F235" s="142">
        <v>0</v>
      </c>
      <c r="G235" s="142">
        <v>0</v>
      </c>
      <c r="H235" s="142">
        <v>0</v>
      </c>
      <c r="I235" s="142">
        <v>0</v>
      </c>
      <c r="J235" s="142">
        <v>0</v>
      </c>
      <c r="K235" s="142">
        <v>0</v>
      </c>
    </row>
    <row r="236" spans="1:11">
      <c r="A236" s="142"/>
      <c r="B236" s="142">
        <v>0</v>
      </c>
      <c r="C236" s="142">
        <v>0</v>
      </c>
      <c r="D236" s="142" t="e">
        <v>#NAME?</v>
      </c>
      <c r="E236" s="142">
        <v>0</v>
      </c>
      <c r="F236" s="142">
        <v>0</v>
      </c>
      <c r="G236" s="142">
        <v>0</v>
      </c>
      <c r="H236" s="142">
        <v>0</v>
      </c>
      <c r="I236" s="142">
        <v>0</v>
      </c>
      <c r="J236" s="142">
        <v>0</v>
      </c>
      <c r="K236" s="142">
        <v>0</v>
      </c>
    </row>
    <row r="237" spans="1:11">
      <c r="A237" s="142"/>
      <c r="B237" s="142">
        <v>0</v>
      </c>
      <c r="C237" s="142">
        <v>0</v>
      </c>
      <c r="D237" s="142" t="e">
        <v>#NAME?</v>
      </c>
      <c r="E237" s="142">
        <v>0</v>
      </c>
      <c r="F237" s="142">
        <v>0</v>
      </c>
      <c r="G237" s="142">
        <v>0</v>
      </c>
      <c r="H237" s="142">
        <v>0</v>
      </c>
      <c r="I237" s="142">
        <v>0</v>
      </c>
      <c r="J237" s="142">
        <v>0</v>
      </c>
      <c r="K237" s="142">
        <v>0</v>
      </c>
    </row>
    <row r="238" spans="1:11">
      <c r="A238" s="142"/>
      <c r="B238" s="142">
        <v>0</v>
      </c>
      <c r="C238" s="142">
        <v>0</v>
      </c>
      <c r="D238" s="142" t="e">
        <v>#NAME?</v>
      </c>
      <c r="E238" s="142">
        <v>0</v>
      </c>
      <c r="F238" s="142">
        <v>0</v>
      </c>
      <c r="G238" s="142">
        <v>0</v>
      </c>
      <c r="H238" s="142">
        <v>0</v>
      </c>
      <c r="I238" s="142">
        <v>0</v>
      </c>
      <c r="J238" s="142">
        <v>0</v>
      </c>
      <c r="K238" s="142">
        <v>0</v>
      </c>
    </row>
    <row r="239" spans="1:11">
      <c r="A239" s="142"/>
      <c r="B239" s="142">
        <v>0</v>
      </c>
      <c r="C239" s="142">
        <v>0</v>
      </c>
      <c r="D239" s="142" t="e">
        <v>#NAME?</v>
      </c>
      <c r="E239" s="142">
        <v>0</v>
      </c>
      <c r="F239" s="142">
        <v>0</v>
      </c>
      <c r="G239" s="142">
        <v>0</v>
      </c>
      <c r="H239" s="142">
        <v>0</v>
      </c>
      <c r="I239" s="142">
        <v>0</v>
      </c>
      <c r="J239" s="142">
        <v>0</v>
      </c>
      <c r="K239" s="142">
        <v>0</v>
      </c>
    </row>
    <row r="240" spans="1:11">
      <c r="A240" s="142"/>
      <c r="B240" s="142">
        <v>0</v>
      </c>
      <c r="C240" s="142">
        <v>0</v>
      </c>
      <c r="D240" s="142" t="e">
        <v>#NAME?</v>
      </c>
      <c r="E240" s="142">
        <v>0</v>
      </c>
      <c r="F240" s="142">
        <v>0</v>
      </c>
      <c r="G240" s="142">
        <v>0</v>
      </c>
      <c r="H240" s="142">
        <v>0</v>
      </c>
      <c r="I240" s="142">
        <v>0</v>
      </c>
      <c r="J240" s="142">
        <v>0</v>
      </c>
      <c r="K240" s="142">
        <v>0</v>
      </c>
    </row>
    <row r="241" spans="1:11">
      <c r="A241" s="142"/>
      <c r="B241" s="142">
        <v>0</v>
      </c>
      <c r="C241" s="142">
        <v>0</v>
      </c>
      <c r="D241" s="142" t="e">
        <v>#NAME?</v>
      </c>
      <c r="E241" s="142">
        <v>0</v>
      </c>
      <c r="F241" s="142">
        <v>0</v>
      </c>
      <c r="G241" s="142">
        <v>0</v>
      </c>
      <c r="H241" s="142">
        <v>0</v>
      </c>
      <c r="I241" s="142">
        <v>0</v>
      </c>
      <c r="J241" s="142">
        <v>0</v>
      </c>
      <c r="K241" s="142">
        <v>0</v>
      </c>
    </row>
    <row r="242" spans="1:11">
      <c r="A242" s="142"/>
      <c r="B242" s="142">
        <v>0</v>
      </c>
      <c r="C242" s="142">
        <v>0</v>
      </c>
      <c r="D242" s="142" t="e">
        <v>#NAME?</v>
      </c>
      <c r="E242" s="142">
        <v>0</v>
      </c>
      <c r="F242" s="142">
        <v>0</v>
      </c>
      <c r="G242" s="142">
        <v>0</v>
      </c>
      <c r="H242" s="142">
        <v>0</v>
      </c>
      <c r="I242" s="142">
        <v>0</v>
      </c>
      <c r="J242" s="142">
        <v>0</v>
      </c>
      <c r="K242" s="142">
        <v>0</v>
      </c>
    </row>
    <row r="243" spans="1:11">
      <c r="A243" s="142"/>
      <c r="B243" s="142">
        <v>0</v>
      </c>
      <c r="C243" s="142">
        <v>0</v>
      </c>
      <c r="D243" s="142" t="e">
        <v>#NAME?</v>
      </c>
      <c r="E243" s="142">
        <v>0</v>
      </c>
      <c r="F243" s="142">
        <v>0</v>
      </c>
      <c r="G243" s="142">
        <v>0</v>
      </c>
      <c r="H243" s="142">
        <v>0</v>
      </c>
      <c r="I243" s="142">
        <v>0</v>
      </c>
      <c r="J243" s="142">
        <v>0</v>
      </c>
      <c r="K243" s="142">
        <v>0</v>
      </c>
    </row>
    <row r="244" spans="1:11">
      <c r="A244" s="142"/>
      <c r="B244" s="142">
        <v>0</v>
      </c>
      <c r="C244" s="142">
        <v>0</v>
      </c>
      <c r="D244" s="142" t="e">
        <v>#NAME?</v>
      </c>
      <c r="E244" s="142">
        <v>0</v>
      </c>
      <c r="F244" s="142">
        <v>0</v>
      </c>
      <c r="G244" s="142">
        <v>0</v>
      </c>
      <c r="H244" s="142">
        <v>0</v>
      </c>
      <c r="I244" s="142">
        <v>0</v>
      </c>
      <c r="J244" s="142">
        <v>0</v>
      </c>
      <c r="K244" s="142">
        <v>0</v>
      </c>
    </row>
    <row r="245" spans="1:11">
      <c r="A245" s="142"/>
      <c r="B245" s="142">
        <v>0</v>
      </c>
      <c r="C245" s="142">
        <v>0</v>
      </c>
      <c r="D245" s="142" t="e">
        <v>#NAME?</v>
      </c>
      <c r="E245" s="142">
        <v>0</v>
      </c>
      <c r="F245" s="142">
        <v>0</v>
      </c>
      <c r="G245" s="142">
        <v>0</v>
      </c>
      <c r="H245" s="142">
        <v>0</v>
      </c>
      <c r="I245" s="142">
        <v>0</v>
      </c>
      <c r="J245" s="142">
        <v>0</v>
      </c>
      <c r="K245" s="142">
        <v>0</v>
      </c>
    </row>
    <row r="246" spans="1:11">
      <c r="A246" s="142"/>
      <c r="B246" s="142">
        <v>0</v>
      </c>
      <c r="C246" s="142">
        <v>0</v>
      </c>
      <c r="D246" s="142" t="e">
        <v>#NAME?</v>
      </c>
      <c r="E246" s="142">
        <v>0</v>
      </c>
      <c r="F246" s="142">
        <v>0</v>
      </c>
      <c r="G246" s="142">
        <v>0</v>
      </c>
      <c r="H246" s="142">
        <v>0</v>
      </c>
      <c r="I246" s="142">
        <v>0</v>
      </c>
      <c r="J246" s="142">
        <v>0</v>
      </c>
      <c r="K246" s="142">
        <v>0</v>
      </c>
    </row>
    <row r="247" spans="1:11">
      <c r="A247" s="142"/>
      <c r="B247" s="142">
        <v>0</v>
      </c>
      <c r="C247" s="142">
        <v>0</v>
      </c>
      <c r="D247" s="142" t="e">
        <v>#NAME?</v>
      </c>
      <c r="E247" s="142">
        <v>0</v>
      </c>
      <c r="F247" s="142">
        <v>0</v>
      </c>
      <c r="G247" s="142">
        <v>0</v>
      </c>
      <c r="H247" s="142">
        <v>0</v>
      </c>
      <c r="I247" s="142">
        <v>0</v>
      </c>
      <c r="J247" s="142">
        <v>0</v>
      </c>
      <c r="K247" s="142">
        <v>0</v>
      </c>
    </row>
    <row r="248" spans="1:11">
      <c r="A248" s="142"/>
      <c r="B248" s="142">
        <v>0</v>
      </c>
      <c r="C248" s="142">
        <v>0</v>
      </c>
      <c r="D248" s="142" t="e">
        <v>#NAME?</v>
      </c>
      <c r="E248" s="142">
        <v>0</v>
      </c>
      <c r="F248" s="142">
        <v>0</v>
      </c>
      <c r="G248" s="142">
        <v>0</v>
      </c>
      <c r="H248" s="142">
        <v>0</v>
      </c>
      <c r="I248" s="142">
        <v>0</v>
      </c>
      <c r="J248" s="142">
        <v>0</v>
      </c>
      <c r="K248" s="142">
        <v>0</v>
      </c>
    </row>
    <row r="249" spans="1:11">
      <c r="A249" s="142"/>
      <c r="B249" s="142">
        <v>0</v>
      </c>
      <c r="C249" s="142">
        <v>0</v>
      </c>
      <c r="D249" s="142" t="e">
        <v>#NAME?</v>
      </c>
      <c r="E249" s="142">
        <v>0</v>
      </c>
      <c r="F249" s="142">
        <v>0</v>
      </c>
      <c r="G249" s="142">
        <v>0</v>
      </c>
      <c r="H249" s="142">
        <v>0</v>
      </c>
      <c r="I249" s="142">
        <v>0</v>
      </c>
      <c r="J249" s="142">
        <v>0</v>
      </c>
      <c r="K249" s="142">
        <v>0</v>
      </c>
    </row>
    <row r="250" spans="1:11">
      <c r="A250" s="142"/>
      <c r="B250" s="142">
        <v>0</v>
      </c>
      <c r="C250" s="142">
        <v>0</v>
      </c>
      <c r="D250" s="142" t="e">
        <v>#NAME?</v>
      </c>
      <c r="E250" s="142">
        <v>0</v>
      </c>
      <c r="F250" s="142">
        <v>0</v>
      </c>
      <c r="G250" s="142">
        <v>0</v>
      </c>
      <c r="H250" s="142">
        <v>0</v>
      </c>
      <c r="I250" s="142">
        <v>0</v>
      </c>
      <c r="J250" s="142">
        <v>0</v>
      </c>
      <c r="K250" s="142">
        <v>0</v>
      </c>
    </row>
    <row r="251" spans="1:11">
      <c r="A251" s="142"/>
      <c r="B251" s="142">
        <v>0</v>
      </c>
      <c r="C251" s="142">
        <v>0</v>
      </c>
      <c r="D251" s="142" t="e">
        <v>#NAME?</v>
      </c>
      <c r="E251" s="142">
        <v>0</v>
      </c>
      <c r="F251" s="142">
        <v>0</v>
      </c>
      <c r="G251" s="142">
        <v>0</v>
      </c>
      <c r="H251" s="142">
        <v>0</v>
      </c>
      <c r="I251" s="142">
        <v>0</v>
      </c>
      <c r="J251" s="142">
        <v>0</v>
      </c>
      <c r="K251" s="142">
        <v>0</v>
      </c>
    </row>
    <row r="252" spans="1:11">
      <c r="A252" s="142"/>
      <c r="B252" s="142">
        <v>0</v>
      </c>
      <c r="C252" s="142">
        <v>0</v>
      </c>
      <c r="D252" s="142" t="e">
        <v>#NAME?</v>
      </c>
      <c r="E252" s="142">
        <v>0</v>
      </c>
      <c r="F252" s="142">
        <v>0</v>
      </c>
      <c r="G252" s="142">
        <v>0</v>
      </c>
      <c r="H252" s="142">
        <v>0</v>
      </c>
      <c r="I252" s="142">
        <v>0</v>
      </c>
      <c r="J252" s="142">
        <v>0</v>
      </c>
      <c r="K252" s="142">
        <v>0</v>
      </c>
    </row>
    <row r="253" spans="1:11">
      <c r="A253" s="142"/>
      <c r="B253" s="142">
        <v>0</v>
      </c>
      <c r="C253" s="142">
        <v>0</v>
      </c>
      <c r="D253" s="142" t="e">
        <v>#NAME?</v>
      </c>
      <c r="E253" s="142">
        <v>0</v>
      </c>
      <c r="F253" s="142">
        <v>0</v>
      </c>
      <c r="G253" s="142">
        <v>0</v>
      </c>
      <c r="H253" s="142">
        <v>0</v>
      </c>
      <c r="I253" s="142">
        <v>0</v>
      </c>
      <c r="J253" s="142">
        <v>0</v>
      </c>
      <c r="K253" s="142">
        <v>0</v>
      </c>
    </row>
    <row r="254" spans="1:11">
      <c r="A254" s="142"/>
      <c r="B254" s="142">
        <v>0</v>
      </c>
      <c r="C254" s="142">
        <v>0</v>
      </c>
      <c r="D254" s="142" t="e">
        <v>#NAME?</v>
      </c>
      <c r="E254" s="142">
        <v>0</v>
      </c>
      <c r="F254" s="142">
        <v>0</v>
      </c>
      <c r="G254" s="142">
        <v>0</v>
      </c>
      <c r="H254" s="142">
        <v>0</v>
      </c>
      <c r="I254" s="142">
        <v>0</v>
      </c>
      <c r="J254" s="142">
        <v>0</v>
      </c>
      <c r="K254" s="142">
        <v>0</v>
      </c>
    </row>
    <row r="255" spans="1:11">
      <c r="A255" s="142"/>
      <c r="B255" s="142">
        <v>0</v>
      </c>
      <c r="C255" s="142">
        <v>0</v>
      </c>
      <c r="D255" s="142" t="e">
        <v>#NAME?</v>
      </c>
      <c r="E255" s="142">
        <v>0</v>
      </c>
      <c r="F255" s="142">
        <v>0</v>
      </c>
      <c r="G255" s="142">
        <v>0</v>
      </c>
      <c r="H255" s="142">
        <v>0</v>
      </c>
      <c r="I255" s="142">
        <v>0</v>
      </c>
      <c r="J255" s="142">
        <v>0</v>
      </c>
      <c r="K255" s="142">
        <v>0</v>
      </c>
    </row>
    <row r="256" spans="1:11">
      <c r="A256" s="142"/>
      <c r="B256" s="142">
        <v>0</v>
      </c>
      <c r="C256" s="142">
        <v>0</v>
      </c>
      <c r="D256" s="142" t="e">
        <v>#NAME?</v>
      </c>
      <c r="E256" s="142">
        <v>0</v>
      </c>
      <c r="F256" s="142">
        <v>0</v>
      </c>
      <c r="G256" s="142">
        <v>0</v>
      </c>
      <c r="H256" s="142">
        <v>0</v>
      </c>
      <c r="I256" s="142">
        <v>0</v>
      </c>
      <c r="J256" s="142">
        <v>0</v>
      </c>
      <c r="K256" s="142">
        <v>0</v>
      </c>
    </row>
    <row r="257" spans="1:11">
      <c r="A257" s="142"/>
      <c r="B257" s="142">
        <v>0</v>
      </c>
      <c r="C257" s="142">
        <v>0</v>
      </c>
      <c r="D257" s="142" t="e">
        <v>#NAME?</v>
      </c>
      <c r="E257" s="142">
        <v>0</v>
      </c>
      <c r="F257" s="142">
        <v>0</v>
      </c>
      <c r="G257" s="142">
        <v>0</v>
      </c>
      <c r="H257" s="142">
        <v>0</v>
      </c>
      <c r="I257" s="142">
        <v>0</v>
      </c>
      <c r="J257" s="142">
        <v>0</v>
      </c>
      <c r="K257" s="142">
        <v>0</v>
      </c>
    </row>
    <row r="258" spans="1:11">
      <c r="A258" s="142"/>
      <c r="B258" s="142">
        <v>0</v>
      </c>
      <c r="C258" s="142">
        <v>0</v>
      </c>
      <c r="D258" s="142" t="e">
        <v>#NAME?</v>
      </c>
      <c r="E258" s="142">
        <v>0</v>
      </c>
      <c r="F258" s="142">
        <v>0</v>
      </c>
      <c r="G258" s="142">
        <v>0</v>
      </c>
      <c r="H258" s="142">
        <v>0</v>
      </c>
      <c r="I258" s="142">
        <v>0</v>
      </c>
      <c r="J258" s="142">
        <v>0</v>
      </c>
      <c r="K258" s="142">
        <v>0</v>
      </c>
    </row>
    <row r="259" spans="1:11">
      <c r="A259" s="142"/>
      <c r="B259" s="142">
        <v>0</v>
      </c>
      <c r="C259" s="142">
        <v>0</v>
      </c>
      <c r="D259" s="142" t="e">
        <v>#NAME?</v>
      </c>
      <c r="E259" s="142">
        <v>0</v>
      </c>
      <c r="F259" s="142">
        <v>0</v>
      </c>
      <c r="G259" s="142">
        <v>0</v>
      </c>
      <c r="H259" s="142">
        <v>0</v>
      </c>
      <c r="I259" s="142">
        <v>0</v>
      </c>
      <c r="J259" s="142">
        <v>0</v>
      </c>
      <c r="K259" s="142">
        <v>0</v>
      </c>
    </row>
    <row r="260" spans="1:11">
      <c r="A260" s="142"/>
      <c r="B260" s="142">
        <v>0</v>
      </c>
      <c r="C260" s="142">
        <v>0</v>
      </c>
      <c r="D260" s="142" t="e">
        <v>#NAME?</v>
      </c>
      <c r="E260" s="142">
        <v>0</v>
      </c>
      <c r="F260" s="142">
        <v>0</v>
      </c>
      <c r="G260" s="142">
        <v>0</v>
      </c>
      <c r="H260" s="142">
        <v>0</v>
      </c>
      <c r="I260" s="142">
        <v>0</v>
      </c>
      <c r="J260" s="142">
        <v>0</v>
      </c>
      <c r="K260" s="142">
        <v>0</v>
      </c>
    </row>
    <row r="261" spans="1:11">
      <c r="A261" s="142"/>
      <c r="B261" s="142">
        <v>0</v>
      </c>
      <c r="C261" s="142">
        <v>0</v>
      </c>
      <c r="D261" s="142" t="e">
        <v>#NAME?</v>
      </c>
      <c r="E261" s="142">
        <v>0</v>
      </c>
      <c r="F261" s="142">
        <v>0</v>
      </c>
      <c r="G261" s="142">
        <v>0</v>
      </c>
      <c r="H261" s="142">
        <v>0</v>
      </c>
      <c r="I261" s="142">
        <v>0</v>
      </c>
      <c r="J261" s="142">
        <v>0</v>
      </c>
      <c r="K261" s="142">
        <v>0</v>
      </c>
    </row>
    <row r="262" spans="1:11">
      <c r="A262" s="142"/>
      <c r="B262" s="142">
        <v>0</v>
      </c>
      <c r="C262" s="142">
        <v>0</v>
      </c>
      <c r="D262" s="142" t="e">
        <v>#NAME?</v>
      </c>
      <c r="E262" s="142">
        <v>0</v>
      </c>
      <c r="F262" s="142">
        <v>0</v>
      </c>
      <c r="G262" s="142">
        <v>0</v>
      </c>
      <c r="H262" s="142">
        <v>0</v>
      </c>
      <c r="I262" s="142">
        <v>0</v>
      </c>
      <c r="J262" s="142">
        <v>0</v>
      </c>
      <c r="K262" s="142">
        <v>0</v>
      </c>
    </row>
    <row r="263" spans="1:11">
      <c r="A263" s="142"/>
      <c r="B263" s="142">
        <v>0</v>
      </c>
      <c r="C263" s="142">
        <v>0</v>
      </c>
      <c r="D263" s="142" t="e">
        <v>#NAME?</v>
      </c>
      <c r="E263" s="142">
        <v>0</v>
      </c>
      <c r="F263" s="142">
        <v>0</v>
      </c>
      <c r="G263" s="142">
        <v>0</v>
      </c>
      <c r="H263" s="142">
        <v>0</v>
      </c>
      <c r="I263" s="142">
        <v>0</v>
      </c>
      <c r="J263" s="142">
        <v>0</v>
      </c>
      <c r="K263" s="142">
        <v>0</v>
      </c>
    </row>
    <row r="264" spans="1:11">
      <c r="A264" s="142"/>
      <c r="B264" s="142">
        <v>0</v>
      </c>
      <c r="C264" s="142">
        <v>0</v>
      </c>
      <c r="D264" s="142" t="e">
        <v>#NAME?</v>
      </c>
      <c r="E264" s="142">
        <v>0</v>
      </c>
      <c r="F264" s="142">
        <v>0</v>
      </c>
      <c r="G264" s="142">
        <v>0</v>
      </c>
      <c r="H264" s="142">
        <v>0</v>
      </c>
      <c r="I264" s="142">
        <v>0</v>
      </c>
      <c r="J264" s="142">
        <v>0</v>
      </c>
      <c r="K264" s="142">
        <v>0</v>
      </c>
    </row>
    <row r="265" spans="1:11">
      <c r="A265" s="142"/>
      <c r="B265" s="142">
        <v>0</v>
      </c>
      <c r="C265" s="142">
        <v>0</v>
      </c>
      <c r="D265" s="142" t="e">
        <v>#NAME?</v>
      </c>
      <c r="E265" s="142">
        <v>0</v>
      </c>
      <c r="F265" s="142">
        <v>0</v>
      </c>
      <c r="G265" s="142">
        <v>0</v>
      </c>
      <c r="H265" s="142">
        <v>0</v>
      </c>
      <c r="I265" s="142">
        <v>0</v>
      </c>
      <c r="J265" s="142">
        <v>0</v>
      </c>
      <c r="K265" s="142">
        <v>0</v>
      </c>
    </row>
    <row r="266" spans="1:11">
      <c r="A266" s="142"/>
      <c r="B266" s="142">
        <v>0</v>
      </c>
      <c r="C266" s="142">
        <v>0</v>
      </c>
      <c r="D266" s="142" t="e">
        <v>#NAME?</v>
      </c>
      <c r="E266" s="142">
        <v>0</v>
      </c>
      <c r="F266" s="142">
        <v>0</v>
      </c>
      <c r="G266" s="142">
        <v>0</v>
      </c>
      <c r="H266" s="142">
        <v>0</v>
      </c>
      <c r="I266" s="142">
        <v>0</v>
      </c>
      <c r="J266" s="142">
        <v>0</v>
      </c>
      <c r="K266" s="142">
        <v>0</v>
      </c>
    </row>
    <row r="267" spans="1:11">
      <c r="A267" s="142"/>
      <c r="B267" s="142">
        <v>0</v>
      </c>
      <c r="C267" s="142">
        <v>0</v>
      </c>
      <c r="D267" s="142" t="e">
        <v>#NAME?</v>
      </c>
      <c r="E267" s="142">
        <v>0</v>
      </c>
      <c r="F267" s="142">
        <v>0</v>
      </c>
      <c r="G267" s="142">
        <v>0</v>
      </c>
      <c r="H267" s="142">
        <v>0</v>
      </c>
      <c r="I267" s="142">
        <v>0</v>
      </c>
      <c r="J267" s="142">
        <v>0</v>
      </c>
      <c r="K267" s="142">
        <v>0</v>
      </c>
    </row>
    <row r="268" spans="1:11">
      <c r="A268" s="142"/>
      <c r="B268" s="142">
        <v>0</v>
      </c>
      <c r="C268" s="142">
        <v>0</v>
      </c>
      <c r="D268" s="142" t="e">
        <v>#NAME?</v>
      </c>
      <c r="E268" s="142">
        <v>0</v>
      </c>
      <c r="F268" s="142">
        <v>0</v>
      </c>
      <c r="G268" s="142">
        <v>0</v>
      </c>
      <c r="H268" s="142">
        <v>0</v>
      </c>
      <c r="I268" s="142">
        <v>0</v>
      </c>
      <c r="J268" s="142">
        <v>0</v>
      </c>
      <c r="K268" s="142">
        <v>0</v>
      </c>
    </row>
    <row r="269" spans="1:11">
      <c r="A269" s="142"/>
      <c r="B269" s="142">
        <v>0</v>
      </c>
      <c r="C269" s="142">
        <v>0</v>
      </c>
      <c r="D269" s="142" t="e">
        <v>#NAME?</v>
      </c>
      <c r="E269" s="142">
        <v>0</v>
      </c>
      <c r="F269" s="142">
        <v>0</v>
      </c>
      <c r="G269" s="142">
        <v>0</v>
      </c>
      <c r="H269" s="142">
        <v>0</v>
      </c>
      <c r="I269" s="142">
        <v>0</v>
      </c>
      <c r="J269" s="142">
        <v>0</v>
      </c>
      <c r="K269" s="142">
        <v>0</v>
      </c>
    </row>
    <row r="270" spans="1:11">
      <c r="A270" s="142"/>
      <c r="B270" s="142">
        <v>0</v>
      </c>
      <c r="C270" s="142">
        <v>0</v>
      </c>
      <c r="D270" s="142" t="e">
        <v>#NAME?</v>
      </c>
      <c r="E270" s="142">
        <v>0</v>
      </c>
      <c r="F270" s="142">
        <v>0</v>
      </c>
      <c r="G270" s="142">
        <v>0</v>
      </c>
      <c r="H270" s="142">
        <v>0</v>
      </c>
      <c r="I270" s="142">
        <v>0</v>
      </c>
      <c r="J270" s="142">
        <v>0</v>
      </c>
      <c r="K270" s="142">
        <v>0</v>
      </c>
    </row>
    <row r="271" spans="1:11">
      <c r="A271" s="142"/>
      <c r="B271" s="142">
        <v>0</v>
      </c>
      <c r="C271" s="142">
        <v>0</v>
      </c>
      <c r="D271" s="142" t="e">
        <v>#NAME?</v>
      </c>
      <c r="E271" s="142">
        <v>0</v>
      </c>
      <c r="F271" s="142">
        <v>0</v>
      </c>
      <c r="G271" s="142">
        <v>0</v>
      </c>
      <c r="H271" s="142">
        <v>0</v>
      </c>
      <c r="I271" s="142">
        <v>0</v>
      </c>
      <c r="J271" s="142">
        <v>0</v>
      </c>
      <c r="K271" s="142">
        <v>0</v>
      </c>
    </row>
    <row r="272" spans="1:11">
      <c r="A272" s="142"/>
      <c r="B272" s="142">
        <v>0</v>
      </c>
      <c r="C272" s="142">
        <v>0</v>
      </c>
      <c r="D272" s="142" t="e">
        <v>#NAME?</v>
      </c>
      <c r="E272" s="142">
        <v>0</v>
      </c>
      <c r="F272" s="142">
        <v>0</v>
      </c>
      <c r="G272" s="142">
        <v>0</v>
      </c>
      <c r="H272" s="142">
        <v>0</v>
      </c>
      <c r="I272" s="142">
        <v>0</v>
      </c>
      <c r="J272" s="142">
        <v>0</v>
      </c>
      <c r="K272" s="142">
        <v>0</v>
      </c>
    </row>
    <row r="273" spans="1:11">
      <c r="A273" s="142"/>
      <c r="B273" s="142">
        <v>0</v>
      </c>
      <c r="C273" s="142">
        <v>0</v>
      </c>
      <c r="D273" s="142" t="e">
        <v>#NAME?</v>
      </c>
      <c r="E273" s="142">
        <v>0</v>
      </c>
      <c r="F273" s="142">
        <v>0</v>
      </c>
      <c r="G273" s="142">
        <v>0</v>
      </c>
      <c r="H273" s="142">
        <v>0</v>
      </c>
      <c r="I273" s="142">
        <v>0</v>
      </c>
      <c r="J273" s="142">
        <v>0</v>
      </c>
      <c r="K273" s="142">
        <v>0</v>
      </c>
    </row>
    <row r="274" spans="1:11">
      <c r="A274" s="142"/>
      <c r="B274" s="142">
        <v>0</v>
      </c>
      <c r="C274" s="142">
        <v>0</v>
      </c>
      <c r="D274" s="142" t="e">
        <v>#NAME?</v>
      </c>
      <c r="E274" s="142">
        <v>0</v>
      </c>
      <c r="F274" s="142">
        <v>0</v>
      </c>
      <c r="G274" s="142">
        <v>0</v>
      </c>
      <c r="H274" s="142">
        <v>0</v>
      </c>
      <c r="I274" s="142">
        <v>0</v>
      </c>
      <c r="J274" s="142">
        <v>0</v>
      </c>
      <c r="K274" s="142">
        <v>0</v>
      </c>
    </row>
  </sheetData>
  <customSheetViews>
    <customSheetView guid="{C8C28A16-3CAD-4F54-A986-B4BB76010774}" showPageBreaks="1" topLeftCell="B12">
      <selection activeCell="C17" sqref="C17"/>
      <pageMargins left="0.7" right="0.7" top="0.75" bottom="0.75" header="0.3" footer="0.3"/>
      <pageSetup orientation="portrait" r:id="rId1"/>
    </customSheetView>
    <customSheetView guid="{69D25061-22BB-4069-9A58-30FF41B45BB4}" showPageBreaks="1" state="hidden" topLeftCell="B12">
      <selection activeCell="C17" sqref="C17"/>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17E4-79E9-4954-8367-1A3A0FC63BC0}">
  <sheetPr codeName="Sheet13"/>
  <dimension ref="A1:C15"/>
  <sheetViews>
    <sheetView zoomScaleNormal="100" workbookViewId="0">
      <selection activeCell="C17" sqref="C17"/>
    </sheetView>
  </sheetViews>
  <sheetFormatPr defaultRowHeight="15"/>
  <cols>
    <col min="1" max="1" width="16.85546875" bestFit="1" customWidth="1"/>
    <col min="2" max="2" width="12.5703125" bestFit="1" customWidth="1"/>
  </cols>
  <sheetData>
    <row r="1" spans="1:3">
      <c r="A1" t="s">
        <v>80</v>
      </c>
      <c r="B1">
        <f>'Data Table Input'!P5</f>
        <v>32.200000000000003</v>
      </c>
      <c r="C1" t="s">
        <v>81</v>
      </c>
    </row>
    <row r="2" spans="1:3">
      <c r="A2" t="s">
        <v>75</v>
      </c>
      <c r="B2">
        <f>'Data Table Input'!P4</f>
        <v>62.4</v>
      </c>
      <c r="C2" t="s">
        <v>76</v>
      </c>
    </row>
    <row r="3" spans="1:3">
      <c r="A3" t="s">
        <v>70</v>
      </c>
      <c r="B3" s="20">
        <f>'Data Table Input'!D16</f>
        <v>5</v>
      </c>
      <c r="C3" t="s">
        <v>9</v>
      </c>
    </row>
    <row r="4" spans="1:3">
      <c r="A4" t="s">
        <v>71</v>
      </c>
      <c r="B4">
        <f>'Data Table Input'!D14</f>
        <v>250</v>
      </c>
      <c r="C4" t="s">
        <v>7</v>
      </c>
    </row>
    <row r="5" spans="1:3">
      <c r="A5" t="s">
        <v>8</v>
      </c>
      <c r="B5">
        <f>'Data Table Input'!D15</f>
        <v>2500</v>
      </c>
      <c r="C5" t="s">
        <v>7</v>
      </c>
    </row>
    <row r="7" spans="1:3">
      <c r="A7" t="s">
        <v>72</v>
      </c>
      <c r="B7" s="9">
        <f>'Data Table Input'!D7/12</f>
        <v>8.3333333333333329E-2</v>
      </c>
      <c r="C7" t="s">
        <v>5</v>
      </c>
    </row>
    <row r="8" spans="1:3">
      <c r="A8" t="s">
        <v>92</v>
      </c>
      <c r="B8" s="9">
        <f>B7/3</f>
        <v>2.7777777777777776E-2</v>
      </c>
    </row>
    <row r="9" spans="1:3">
      <c r="A9" t="s">
        <v>73</v>
      </c>
      <c r="B9" s="9">
        <f>'Data Table Segment Flow (2)'!C21</f>
        <v>-0.18186625603062317</v>
      </c>
      <c r="C9" t="s">
        <v>32</v>
      </c>
    </row>
    <row r="11" spans="1:3">
      <c r="A11" t="s">
        <v>74</v>
      </c>
      <c r="B11" s="9">
        <f>B2*B1*B8*B9</f>
        <v>-10.150561969922515</v>
      </c>
      <c r="C11" t="s">
        <v>82</v>
      </c>
    </row>
    <row r="13" spans="1:3">
      <c r="A13" t="s">
        <v>83</v>
      </c>
      <c r="B13" s="9">
        <f>(B4+B5)*SIN(B3*PI()/180)*B1</f>
        <v>7717.641020305131</v>
      </c>
      <c r="C13" t="s">
        <v>82</v>
      </c>
    </row>
    <row r="15" spans="1:3">
      <c r="B15" s="11"/>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8CAF-221E-4E3F-8304-38122735A29E}">
  <sheetPr codeName="Sheet14"/>
  <dimension ref="A3:E18"/>
  <sheetViews>
    <sheetView zoomScaleNormal="100" workbookViewId="0">
      <selection activeCell="C17" sqref="C17"/>
    </sheetView>
  </sheetViews>
  <sheetFormatPr defaultRowHeight="15"/>
  <cols>
    <col min="1" max="1" width="23.140625" bestFit="1" customWidth="1"/>
    <col min="2" max="2" width="11.5703125" bestFit="1" customWidth="1"/>
    <col min="3" max="3" width="13.5703125" bestFit="1" customWidth="1"/>
  </cols>
  <sheetData>
    <row r="3" spans="1:4">
      <c r="A3" t="s">
        <v>98</v>
      </c>
      <c r="B3" t="s">
        <v>80</v>
      </c>
      <c r="C3">
        <f>'Data Table Input'!P5</f>
        <v>32.200000000000003</v>
      </c>
      <c r="D3" t="s">
        <v>81</v>
      </c>
    </row>
    <row r="4" spans="1:4">
      <c r="A4" t="s">
        <v>75</v>
      </c>
      <c r="B4" s="18" t="s">
        <v>24</v>
      </c>
      <c r="C4">
        <f>'Data Table Input'!P4</f>
        <v>62.4</v>
      </c>
      <c r="D4" t="s">
        <v>76</v>
      </c>
    </row>
    <row r="5" spans="1:4">
      <c r="A5" t="s">
        <v>73</v>
      </c>
      <c r="C5" s="26">
        <f>'Data Table Segment Flow (2)'!C21</f>
        <v>-0.18186625603062317</v>
      </c>
      <c r="D5" t="s">
        <v>32</v>
      </c>
    </row>
    <row r="6" spans="1:4">
      <c r="A6" t="s">
        <v>71</v>
      </c>
      <c r="C6" s="20">
        <f>'Data Table Input'!D14+'Data Table Input'!D15</f>
        <v>2750</v>
      </c>
      <c r="D6" t="s">
        <v>7</v>
      </c>
    </row>
    <row r="7" spans="1:4">
      <c r="A7" t="s">
        <v>106</v>
      </c>
      <c r="C7" s="20">
        <f>'Data Table Input'!D4/12</f>
        <v>2</v>
      </c>
      <c r="D7" t="s">
        <v>5</v>
      </c>
    </row>
    <row r="9" spans="1:4">
      <c r="A9" s="13" t="s">
        <v>94</v>
      </c>
      <c r="B9" s="15">
        <f>'Data Table Input'!H25-'Data Table Input'!H26</f>
        <v>-7717.641020305131</v>
      </c>
      <c r="C9" s="13" t="str">
        <f>'Data Table Input'!H27</f>
        <v>Closed</v>
      </c>
      <c r="D9" s="13"/>
    </row>
    <row r="10" spans="1:4">
      <c r="A10" s="13" t="s">
        <v>22</v>
      </c>
      <c r="B10" s="14">
        <f>'Data Table Input'!F7</f>
        <v>8.3333333333333329E-2</v>
      </c>
      <c r="C10" s="13" t="s">
        <v>37</v>
      </c>
      <c r="D10" s="13"/>
    </row>
    <row r="11" spans="1:4">
      <c r="A11" s="13" t="s">
        <v>95</v>
      </c>
      <c r="B11" s="21">
        <f>'Data Table Input'!D13</f>
        <v>3</v>
      </c>
      <c r="C11" s="13" t="s">
        <v>37</v>
      </c>
      <c r="D11" s="13"/>
    </row>
    <row r="13" spans="1:4">
      <c r="A13" t="s">
        <v>102</v>
      </c>
      <c r="C13" s="9">
        <f>IF(B9&gt;0,'Data Table Segment Flow (2)'!C32,0)</f>
        <v>0</v>
      </c>
      <c r="D13" t="s">
        <v>59</v>
      </c>
    </row>
    <row r="14" spans="1:4">
      <c r="A14" s="122" t="s">
        <v>104</v>
      </c>
      <c r="C14" s="11">
        <f>C4*C5*C13^2*B10/3</f>
        <v>0</v>
      </c>
    </row>
    <row r="15" spans="1:4">
      <c r="A15" s="122" t="s">
        <v>105</v>
      </c>
      <c r="C15" s="9">
        <f>C6*C3*(C7/2)</f>
        <v>88550.000000000015</v>
      </c>
      <c r="D15" s="19"/>
    </row>
    <row r="16" spans="1:4">
      <c r="A16" s="122" t="s">
        <v>103</v>
      </c>
      <c r="C16" s="11">
        <f>IFERROR(C14/C15,"Closed")</f>
        <v>0</v>
      </c>
    </row>
    <row r="17" spans="1:5">
      <c r="A17" s="18" t="s">
        <v>67</v>
      </c>
      <c r="C17" s="11">
        <f>IF(C16&gt;1,"Fully Open",ASIN(C16))</f>
        <v>0</v>
      </c>
      <c r="E17" t="s">
        <v>29</v>
      </c>
    </row>
    <row r="18" spans="1:5">
      <c r="C18" s="11">
        <f>IF(C16&gt;1,"Fully Open",C17*180/PI())</f>
        <v>0</v>
      </c>
      <c r="E18" t="s">
        <v>9</v>
      </c>
    </row>
  </sheetData>
  <customSheetViews>
    <customSheetView guid="{C8C28A16-3CAD-4F54-A986-B4BB76010774}" showPageBreaks="1">
      <selection activeCell="C17" sqref="C17"/>
      <pageMargins left="0.7" right="0.7" top="0.75" bottom="0.75" header="0.3" footer="0.3"/>
      <pageSetup orientation="portrait" r:id="rId1"/>
    </customSheetView>
    <customSheetView guid="{69D25061-22BB-4069-9A58-30FF41B45BB4}" showPageBreaks="1" state="hidden">
      <selection activeCell="C17" sqref="C17"/>
      <pageMargins left="0.7" right="0.7" top="0.75" bottom="0.75" header="0.3" footer="0.3"/>
      <pageSetup orientation="portrait" r:id="rId2"/>
    </customSheetView>
  </customSheetViews>
  <pageMargins left="0.7" right="0.7" top="0.75"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B719E-63AC-438F-A560-CA269CDC7DE8}">
  <sheetPr codeName="Sheet15"/>
  <dimension ref="A3:H24"/>
  <sheetViews>
    <sheetView zoomScaleNormal="100" workbookViewId="0">
      <selection activeCell="C17" sqref="C17"/>
    </sheetView>
  </sheetViews>
  <sheetFormatPr defaultRowHeight="15"/>
  <cols>
    <col min="1" max="1" width="23.140625" bestFit="1" customWidth="1"/>
    <col min="2" max="2" width="11.5703125" bestFit="1" customWidth="1"/>
    <col min="3" max="3" width="16.140625" bestFit="1" customWidth="1"/>
    <col min="5" max="5" width="16.42578125" bestFit="1" customWidth="1"/>
    <col min="7" max="7" width="11.140625" bestFit="1" customWidth="1"/>
  </cols>
  <sheetData>
    <row r="3" spans="1:8">
      <c r="A3" t="s">
        <v>98</v>
      </c>
      <c r="B3" t="s">
        <v>80</v>
      </c>
      <c r="C3">
        <f>'Data Table Input'!P5</f>
        <v>32.200000000000003</v>
      </c>
      <c r="D3" t="s">
        <v>81</v>
      </c>
    </row>
    <row r="4" spans="1:8">
      <c r="A4" t="s">
        <v>75</v>
      </c>
      <c r="B4" s="18" t="s">
        <v>24</v>
      </c>
      <c r="C4">
        <f>'Data Table Input'!P4</f>
        <v>62.4</v>
      </c>
      <c r="D4" t="s">
        <v>76</v>
      </c>
    </row>
    <row r="5" spans="1:8">
      <c r="A5" t="s">
        <v>73</v>
      </c>
      <c r="C5" s="26">
        <f>PI()*C7^2/4</f>
        <v>1.227184630308513</v>
      </c>
      <c r="D5" t="s">
        <v>32</v>
      </c>
    </row>
    <row r="6" spans="1:8">
      <c r="A6" t="s">
        <v>71</v>
      </c>
      <c r="C6" s="20">
        <v>80</v>
      </c>
      <c r="D6" t="s">
        <v>7</v>
      </c>
    </row>
    <row r="7" spans="1:8">
      <c r="A7" t="s">
        <v>106</v>
      </c>
      <c r="C7" s="20">
        <v>1.25</v>
      </c>
      <c r="D7" t="s">
        <v>5</v>
      </c>
    </row>
    <row r="10" spans="1:8">
      <c r="A10" t="s">
        <v>102</v>
      </c>
      <c r="C10" s="9">
        <v>6</v>
      </c>
      <c r="D10" t="s">
        <v>59</v>
      </c>
      <c r="F10" t="s">
        <v>53</v>
      </c>
      <c r="G10" s="11">
        <f>C10*C5</f>
        <v>7.3631077818510775</v>
      </c>
      <c r="H10" t="s">
        <v>55</v>
      </c>
    </row>
    <row r="11" spans="1:8">
      <c r="A11" s="122" t="s">
        <v>104</v>
      </c>
      <c r="C11" s="11">
        <f>C4*C5*C10^2*C7/3</f>
        <v>1148.6448139687679</v>
      </c>
      <c r="G11" s="11">
        <f>G10*7.48*60</f>
        <v>3304.5627724947635</v>
      </c>
      <c r="H11" t="s">
        <v>56</v>
      </c>
    </row>
    <row r="12" spans="1:8">
      <c r="A12" s="122" t="s">
        <v>105</v>
      </c>
      <c r="C12" s="9">
        <f>C6*C3*(C7/2)</f>
        <v>1610</v>
      </c>
      <c r="D12" s="19"/>
    </row>
    <row r="13" spans="1:8">
      <c r="A13" s="122" t="s">
        <v>103</v>
      </c>
      <c r="C13" s="11">
        <f>IFERROR(C11/C12,"Closed")</f>
        <v>0.71344398383153285</v>
      </c>
    </row>
    <row r="14" spans="1:8">
      <c r="A14" s="18" t="s">
        <v>67</v>
      </c>
      <c r="C14" s="11">
        <f>IF(C13&gt;1,"Fully Open",ASIN(C13))</f>
        <v>0.79440096790944392</v>
      </c>
      <c r="E14" t="s">
        <v>29</v>
      </c>
    </row>
    <row r="15" spans="1:8">
      <c r="C15" s="11">
        <f>IF(C13&gt;1,"Fully Open",C14*180/PI())</f>
        <v>45.515822702318687</v>
      </c>
      <c r="E15" t="s">
        <v>9</v>
      </c>
    </row>
    <row r="18" spans="1:6">
      <c r="A18" t="s">
        <v>113</v>
      </c>
      <c r="C18">
        <v>0.6</v>
      </c>
    </row>
    <row r="19" spans="1:6">
      <c r="A19" t="s">
        <v>33</v>
      </c>
      <c r="C19" s="26">
        <f>C5</f>
        <v>1.227184630308513</v>
      </c>
      <c r="D19" t="s">
        <v>32</v>
      </c>
    </row>
    <row r="20" spans="1:6">
      <c r="A20" t="s">
        <v>114</v>
      </c>
      <c r="C20">
        <v>6</v>
      </c>
      <c r="D20" t="s">
        <v>37</v>
      </c>
    </row>
    <row r="21" spans="1:6">
      <c r="A21" t="s">
        <v>114</v>
      </c>
      <c r="C21" s="20">
        <f>C7/2+(C20-C7)</f>
        <v>5.375</v>
      </c>
    </row>
    <row r="22" spans="1:6">
      <c r="A22" t="s">
        <v>115</v>
      </c>
      <c r="C22">
        <v>297</v>
      </c>
      <c r="D22" t="s">
        <v>55</v>
      </c>
      <c r="E22" s="13" t="s">
        <v>101</v>
      </c>
    </row>
    <row r="23" spans="1:6">
      <c r="C23">
        <f>C22*7.48*60</f>
        <v>133293.6</v>
      </c>
      <c r="D23" t="s">
        <v>56</v>
      </c>
    </row>
    <row r="24" spans="1:6">
      <c r="A24" t="s">
        <v>116</v>
      </c>
      <c r="C24">
        <f>C22/C5</f>
        <v>242.01737266325972</v>
      </c>
      <c r="D24" t="s">
        <v>59</v>
      </c>
      <c r="E24">
        <f>C24*60/5280*60</f>
        <v>165.01184499767709</v>
      </c>
      <c r="F24" t="s">
        <v>117</v>
      </c>
    </row>
  </sheetData>
  <customSheetViews>
    <customSheetView guid="{C8C28A16-3CAD-4F54-A986-B4BB76010774}" showPageBreaks="1">
      <selection activeCell="C17" sqref="C17"/>
      <pageMargins left="0.7" right="0.7" top="0.75" bottom="0.75" header="0.3" footer="0.3"/>
      <pageSetup orientation="portrait" r:id="rId1"/>
    </customSheetView>
    <customSheetView guid="{69D25061-22BB-4069-9A58-30FF41B45BB4}" showPageBreaks="1" state="hidden">
      <selection activeCell="C17" sqref="C17"/>
      <pageMargins left="0.7" right="0.7" top="0.75" bottom="0.75" header="0.3" footer="0.3"/>
      <pageSetup orientation="portrait" r:id="rId2"/>
    </customSheetView>
  </customSheetView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F3DB-C58D-4320-B3F4-C2D5E9252C4B}">
  <sheetPr codeName="Sheet16"/>
  <dimension ref="A1:G16"/>
  <sheetViews>
    <sheetView zoomScaleNormal="100" workbookViewId="0">
      <selection activeCell="C17" sqref="C17"/>
    </sheetView>
  </sheetViews>
  <sheetFormatPr defaultRowHeight="15"/>
  <cols>
    <col min="1" max="1" width="13.5703125" bestFit="1" customWidth="1"/>
    <col min="5" max="5" width="13.5703125" bestFit="1" customWidth="1"/>
  </cols>
  <sheetData>
    <row r="1" spans="1:7">
      <c r="A1" t="s">
        <v>109</v>
      </c>
      <c r="E1" t="s">
        <v>110</v>
      </c>
    </row>
    <row r="2" spans="1:7">
      <c r="A2" s="4" t="s">
        <v>16</v>
      </c>
      <c r="B2" s="4">
        <v>67</v>
      </c>
      <c r="C2" s="4" t="s">
        <v>9</v>
      </c>
      <c r="E2" s="4" t="s">
        <v>41</v>
      </c>
      <c r="F2" s="4">
        <f>'Data Table Input'!D13</f>
        <v>3</v>
      </c>
      <c r="G2" s="4" t="s">
        <v>4</v>
      </c>
    </row>
    <row r="3" spans="1:7">
      <c r="A3" s="4"/>
      <c r="B3" s="4">
        <f>B2*PI()/180</f>
        <v>1.1693705988362006</v>
      </c>
      <c r="C3" s="4" t="s">
        <v>19</v>
      </c>
      <c r="E3" s="4" t="s">
        <v>87</v>
      </c>
      <c r="F3" s="4">
        <f>ACOS(1-F2/B6)*2</f>
        <v>1.4454684956268311</v>
      </c>
      <c r="G3" s="4" t="s">
        <v>29</v>
      </c>
    </row>
    <row r="4" spans="1:7">
      <c r="A4" s="4"/>
      <c r="B4" s="4"/>
      <c r="C4" s="4"/>
      <c r="E4" s="4"/>
      <c r="F4" s="4">
        <f>F3*180/PI()</f>
        <v>82.819244218541712</v>
      </c>
      <c r="G4" s="4" t="s">
        <v>9</v>
      </c>
    </row>
    <row r="5" spans="1:7">
      <c r="A5" s="4" t="s">
        <v>18</v>
      </c>
      <c r="B5" s="29">
        <f>'Data Table Input'!D4</f>
        <v>24</v>
      </c>
      <c r="C5" s="4" t="s">
        <v>4</v>
      </c>
      <c r="E5" s="4" t="s">
        <v>18</v>
      </c>
      <c r="F5" s="29">
        <f>'Data Table Input'!D4</f>
        <v>24</v>
      </c>
      <c r="G5" s="4" t="s">
        <v>4</v>
      </c>
    </row>
    <row r="6" spans="1:7">
      <c r="A6" s="4" t="s">
        <v>24</v>
      </c>
      <c r="B6" s="4">
        <f>B5/2</f>
        <v>12</v>
      </c>
      <c r="C6" s="4" t="s">
        <v>4</v>
      </c>
      <c r="E6" s="4" t="s">
        <v>24</v>
      </c>
      <c r="F6" s="4">
        <f>F5/2</f>
        <v>12</v>
      </c>
      <c r="G6" s="4" t="s">
        <v>4</v>
      </c>
    </row>
    <row r="7" spans="1:7">
      <c r="A7" s="4"/>
      <c r="B7" s="4"/>
      <c r="C7" s="4"/>
    </row>
    <row r="8" spans="1:7">
      <c r="A8" s="4" t="s">
        <v>33</v>
      </c>
      <c r="B8" s="4">
        <f>B6^2/2*(B3-SIN(B3))</f>
        <v>17.918333667630748</v>
      </c>
      <c r="C8" s="4" t="s">
        <v>34</v>
      </c>
      <c r="E8" s="4" t="s">
        <v>111</v>
      </c>
      <c r="F8" s="4">
        <f>F6^2/2*(F3-SIN(F3))</f>
        <v>32.638446286387897</v>
      </c>
      <c r="G8" s="4"/>
    </row>
    <row r="9" spans="1:7">
      <c r="A9" s="4"/>
      <c r="B9" s="4">
        <f>B8/144</f>
        <v>0.12443287269188019</v>
      </c>
      <c r="C9" s="4" t="s">
        <v>32</v>
      </c>
      <c r="E9" s="4"/>
      <c r="F9" s="4">
        <f>F8/144</f>
        <v>0.22665587698880485</v>
      </c>
      <c r="G9" s="4" t="s">
        <v>32</v>
      </c>
    </row>
    <row r="10" spans="1:7">
      <c r="A10" s="4"/>
      <c r="B10" s="4"/>
      <c r="C10" s="4"/>
      <c r="E10" s="4"/>
      <c r="F10" s="4"/>
      <c r="G10" s="4"/>
    </row>
    <row r="11" spans="1:7">
      <c r="A11" s="4" t="s">
        <v>41</v>
      </c>
      <c r="B11" s="4">
        <f>B6*(1-COS(B3/2))</f>
        <v>1.9933701351939814</v>
      </c>
      <c r="C11" s="4" t="s">
        <v>4</v>
      </c>
    </row>
    <row r="12" spans="1:7">
      <c r="A12" s="4"/>
      <c r="B12" s="4"/>
      <c r="C12" s="4"/>
    </row>
    <row r="13" spans="1:7">
      <c r="A13" s="4"/>
      <c r="B13" s="4">
        <v>4000</v>
      </c>
      <c r="C13" s="4" t="s">
        <v>7</v>
      </c>
    </row>
    <row r="14" spans="1:7">
      <c r="A14" s="4" t="s">
        <v>45</v>
      </c>
      <c r="B14" s="4">
        <f>B13*SIN(B3)</f>
        <v>3682.0194138097609</v>
      </c>
      <c r="C14" s="4" t="s">
        <v>7</v>
      </c>
    </row>
    <row r="15" spans="1:7">
      <c r="A15" s="4"/>
      <c r="B15" s="4">
        <f>B14/2.2/B8</f>
        <v>93.404064191458019</v>
      </c>
      <c r="C15" s="4" t="s">
        <v>4</v>
      </c>
    </row>
    <row r="16" spans="1:7">
      <c r="A16" s="4"/>
      <c r="B16" s="4">
        <f>B15/12</f>
        <v>7.7836720159548349</v>
      </c>
      <c r="C16" s="4" t="s">
        <v>5</v>
      </c>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2AFD4-79CD-43D8-88A7-7A2505D937F5}">
  <dimension ref="A1"/>
  <sheetViews>
    <sheetView zoomScaleNormal="100" workbookViewId="0">
      <selection activeCell="C17" sqref="C17"/>
    </sheetView>
  </sheetViews>
  <sheetFormatPr defaultRowHeight="15"/>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2711-7B8E-472E-8F5A-F5B0D846952C}">
  <sheetPr codeName="Sheet1">
    <pageSetUpPr autoPageBreaks="0"/>
  </sheetPr>
  <dimension ref="A1:Q289"/>
  <sheetViews>
    <sheetView zoomScaleNormal="100" workbookViewId="0">
      <selection activeCell="D7" sqref="D7"/>
    </sheetView>
  </sheetViews>
  <sheetFormatPr defaultRowHeight="15"/>
  <cols>
    <col min="1" max="1" width="40.5703125" style="75" customWidth="1"/>
    <col min="2" max="2" width="35.7109375" bestFit="1" customWidth="1"/>
    <col min="3" max="3" width="11.42578125" bestFit="1" customWidth="1"/>
    <col min="4" max="4" width="18" customWidth="1"/>
    <col min="5" max="5" width="13.5703125" bestFit="1" customWidth="1"/>
    <col min="6" max="6" width="11.42578125" style="9" bestFit="1" customWidth="1"/>
    <col min="7" max="7" width="11.42578125" bestFit="1" customWidth="1"/>
    <col min="8" max="8" width="16.5703125" bestFit="1" customWidth="1"/>
    <col min="9" max="9" width="12.28515625" bestFit="1" customWidth="1"/>
    <col min="10" max="10" width="11.28515625" bestFit="1" customWidth="1"/>
    <col min="11" max="11" width="11.28515625" customWidth="1"/>
    <col min="12" max="12" width="8.28515625" bestFit="1" customWidth="1"/>
    <col min="14" max="14" width="24.7109375" customWidth="1"/>
  </cols>
  <sheetData>
    <row r="1" spans="1:17" ht="69" customHeight="1">
      <c r="A1" s="85" t="s">
        <v>0</v>
      </c>
      <c r="B1" s="32"/>
      <c r="C1" s="31"/>
      <c r="D1" s="32"/>
      <c r="E1" s="32"/>
      <c r="F1" s="33"/>
      <c r="G1" s="32"/>
      <c r="H1" s="34"/>
    </row>
    <row r="2" spans="1:17" ht="19.5" customHeight="1">
      <c r="A2" s="191" t="s">
        <v>217</v>
      </c>
      <c r="B2" s="192"/>
      <c r="C2" s="193"/>
      <c r="D2" s="13"/>
      <c r="E2" s="13"/>
      <c r="F2" s="14"/>
      <c r="G2" s="13"/>
      <c r="H2" s="194"/>
      <c r="J2" s="184" t="s">
        <v>13</v>
      </c>
      <c r="K2" s="185"/>
      <c r="L2" s="185"/>
      <c r="M2" s="185"/>
      <c r="N2" s="189" t="s">
        <v>78</v>
      </c>
      <c r="O2" s="190"/>
      <c r="P2" s="190"/>
      <c r="Q2" s="190"/>
    </row>
    <row r="3" spans="1:17" ht="29.1" customHeight="1">
      <c r="A3" s="290" t="s">
        <v>193</v>
      </c>
      <c r="B3" s="291"/>
      <c r="C3" s="162"/>
      <c r="D3" s="125"/>
      <c r="E3" s="125"/>
      <c r="F3" s="126"/>
      <c r="G3" s="125"/>
      <c r="H3" s="127"/>
      <c r="J3" s="186">
        <v>1</v>
      </c>
      <c r="K3" s="187" t="s">
        <v>5</v>
      </c>
      <c r="L3" s="187">
        <f>J3*12</f>
        <v>12</v>
      </c>
      <c r="M3" s="187" t="s">
        <v>4</v>
      </c>
      <c r="N3" s="190" t="s">
        <v>79</v>
      </c>
      <c r="O3" s="190"/>
      <c r="P3" s="190">
        <v>8.34</v>
      </c>
      <c r="Q3" s="190" t="s">
        <v>77</v>
      </c>
    </row>
    <row r="4" spans="1:17">
      <c r="A4" s="169" t="s">
        <v>170</v>
      </c>
      <c r="B4" s="155" t="s">
        <v>138</v>
      </c>
      <c r="C4" s="162" t="s">
        <v>18</v>
      </c>
      <c r="D4" s="145">
        <v>24</v>
      </c>
      <c r="E4" s="125" t="s">
        <v>4</v>
      </c>
      <c r="F4" s="126">
        <f>D4/12</f>
        <v>2</v>
      </c>
      <c r="G4" s="125" t="s">
        <v>5</v>
      </c>
      <c r="H4" s="127"/>
      <c r="J4" s="186">
        <v>6</v>
      </c>
      <c r="K4" s="187" t="s">
        <v>4</v>
      </c>
      <c r="L4" s="187">
        <f>J4/12</f>
        <v>0.5</v>
      </c>
      <c r="M4" s="187" t="s">
        <v>5</v>
      </c>
      <c r="N4" s="190"/>
      <c r="O4" s="190"/>
      <c r="P4" s="190">
        <v>62.4</v>
      </c>
      <c r="Q4" s="190" t="s">
        <v>76</v>
      </c>
    </row>
    <row r="5" spans="1:17">
      <c r="A5" s="170" t="s">
        <v>159</v>
      </c>
      <c r="B5" s="155" t="s">
        <v>139</v>
      </c>
      <c r="C5" s="162" t="s">
        <v>21</v>
      </c>
      <c r="D5" s="129">
        <f>D4/2</f>
        <v>12</v>
      </c>
      <c r="E5" s="125" t="s">
        <v>4</v>
      </c>
      <c r="F5" s="126">
        <f>F4/2</f>
        <v>1</v>
      </c>
      <c r="G5" s="125" t="s">
        <v>5</v>
      </c>
      <c r="H5" s="127"/>
      <c r="J5" s="188"/>
      <c r="K5" s="188"/>
      <c r="L5" s="188"/>
      <c r="M5" s="188"/>
      <c r="N5" s="190" t="s">
        <v>213</v>
      </c>
      <c r="O5" s="190" t="s">
        <v>80</v>
      </c>
      <c r="P5" s="190">
        <v>32.200000000000003</v>
      </c>
      <c r="Q5" s="190" t="s">
        <v>81</v>
      </c>
    </row>
    <row r="6" spans="1:17">
      <c r="A6" s="169"/>
      <c r="B6" s="155"/>
      <c r="C6" s="162"/>
      <c r="D6" s="128"/>
      <c r="E6" s="125"/>
      <c r="F6" s="126"/>
      <c r="G6" s="125"/>
      <c r="H6" s="127"/>
    </row>
    <row r="7" spans="1:17" ht="45">
      <c r="A7" s="169" t="s">
        <v>214</v>
      </c>
      <c r="B7" s="155" t="s">
        <v>229</v>
      </c>
      <c r="C7" s="162" t="s">
        <v>63</v>
      </c>
      <c r="D7" s="145">
        <v>48</v>
      </c>
      <c r="E7" s="125" t="s">
        <v>4</v>
      </c>
      <c r="F7" s="126">
        <f>D7/12</f>
        <v>4</v>
      </c>
      <c r="G7" s="125" t="s">
        <v>5</v>
      </c>
      <c r="H7" s="127"/>
    </row>
    <row r="8" spans="1:17" ht="60" hidden="1">
      <c r="A8" s="169" t="s">
        <v>215</v>
      </c>
      <c r="B8" s="155" t="s">
        <v>216</v>
      </c>
      <c r="C8" s="162"/>
      <c r="D8" s="148">
        <v>240</v>
      </c>
      <c r="E8" s="125" t="s">
        <v>4</v>
      </c>
      <c r="F8" s="149">
        <f>D8/12</f>
        <v>20</v>
      </c>
      <c r="G8" s="125" t="s">
        <v>5</v>
      </c>
      <c r="H8" s="130"/>
    </row>
    <row r="9" spans="1:17">
      <c r="A9" s="169"/>
      <c r="B9" s="155"/>
      <c r="C9" s="162"/>
      <c r="D9" s="126"/>
      <c r="E9" s="125"/>
      <c r="F9" s="126"/>
      <c r="G9" s="125"/>
      <c r="H9" s="130"/>
    </row>
    <row r="10" spans="1:17">
      <c r="A10" s="169" t="s">
        <v>195</v>
      </c>
      <c r="B10" s="155" t="s">
        <v>147</v>
      </c>
      <c r="C10" s="162" t="s">
        <v>36</v>
      </c>
      <c r="D10" s="146">
        <v>0.01</v>
      </c>
      <c r="E10" s="125" t="s">
        <v>50</v>
      </c>
      <c r="F10" s="125" t="s">
        <v>118</v>
      </c>
      <c r="G10" s="125"/>
      <c r="H10" s="127"/>
    </row>
    <row r="11" spans="1:17">
      <c r="A11" s="169"/>
      <c r="B11" s="155"/>
      <c r="C11" s="162"/>
      <c r="D11" s="132">
        <f>D10</f>
        <v>0.01</v>
      </c>
      <c r="E11" s="125" t="s">
        <v>51</v>
      </c>
      <c r="F11" s="126"/>
      <c r="G11" s="125"/>
      <c r="H11" s="127"/>
    </row>
    <row r="12" spans="1:17" ht="30">
      <c r="A12" s="169" t="s">
        <v>231</v>
      </c>
      <c r="B12" s="155" t="s">
        <v>230</v>
      </c>
      <c r="C12" s="162" t="s">
        <v>16</v>
      </c>
      <c r="D12" s="147">
        <v>1.0999999999999999E-2</v>
      </c>
      <c r="E12" s="125"/>
      <c r="F12" s="126"/>
      <c r="G12" s="125"/>
      <c r="H12" s="127"/>
    </row>
    <row r="13" spans="1:17">
      <c r="A13" s="169"/>
      <c r="B13" s="155"/>
      <c r="C13" s="162"/>
      <c r="D13" s="128"/>
      <c r="E13" s="125"/>
      <c r="F13" s="126"/>
      <c r="G13" s="125"/>
      <c r="H13" s="127"/>
    </row>
    <row r="14" spans="1:17">
      <c r="A14" s="159" t="s">
        <v>143</v>
      </c>
      <c r="B14" s="153"/>
      <c r="C14" s="163"/>
      <c r="D14" s="156"/>
      <c r="E14" s="153"/>
      <c r="F14" s="154"/>
      <c r="G14" s="153"/>
      <c r="H14" s="158"/>
    </row>
    <row r="15" spans="1:17" ht="45">
      <c r="A15" s="171" t="s">
        <v>196</v>
      </c>
      <c r="B15" s="172" t="s">
        <v>218</v>
      </c>
      <c r="C15" s="164" t="s">
        <v>64</v>
      </c>
      <c r="D15" s="145">
        <v>3</v>
      </c>
      <c r="E15" s="106" t="s">
        <v>4</v>
      </c>
      <c r="F15" s="107">
        <f>D15/12</f>
        <v>0.25</v>
      </c>
      <c r="G15" s="108" t="s">
        <v>5</v>
      </c>
      <c r="H15" s="131" t="s">
        <v>91</v>
      </c>
    </row>
    <row r="16" spans="1:17">
      <c r="A16" s="171" t="s">
        <v>197</v>
      </c>
      <c r="B16" s="172" t="s">
        <v>142</v>
      </c>
      <c r="C16" s="164" t="s">
        <v>65</v>
      </c>
      <c r="D16" s="145">
        <v>250</v>
      </c>
      <c r="E16" s="106" t="s">
        <v>7</v>
      </c>
      <c r="F16" s="107"/>
      <c r="G16" s="108"/>
      <c r="H16" s="131"/>
    </row>
    <row r="17" spans="1:16" ht="60">
      <c r="A17" s="171" t="s">
        <v>8</v>
      </c>
      <c r="B17" s="172" t="s">
        <v>232</v>
      </c>
      <c r="C17" s="164" t="s">
        <v>66</v>
      </c>
      <c r="D17" s="145">
        <v>2500</v>
      </c>
      <c r="E17" s="106" t="s">
        <v>7</v>
      </c>
      <c r="F17" s="107"/>
      <c r="G17" s="108"/>
      <c r="H17" s="131"/>
    </row>
    <row r="18" spans="1:16">
      <c r="A18" s="171" t="s">
        <v>198</v>
      </c>
      <c r="B18" s="172" t="s">
        <v>145</v>
      </c>
      <c r="C18" s="165" t="s">
        <v>67</v>
      </c>
      <c r="D18" s="145">
        <v>5</v>
      </c>
      <c r="E18" s="106" t="s">
        <v>9</v>
      </c>
      <c r="F18" s="107"/>
      <c r="G18" s="108"/>
      <c r="H18" s="131"/>
    </row>
    <row r="19" spans="1:16" ht="30">
      <c r="A19" s="173" t="s">
        <v>146</v>
      </c>
      <c r="B19" s="1" t="s">
        <v>10</v>
      </c>
      <c r="C19" s="166" t="s">
        <v>68</v>
      </c>
      <c r="D19" s="12" t="s">
        <v>108</v>
      </c>
      <c r="E19" s="2" t="s">
        <v>11</v>
      </c>
      <c r="F19" s="24"/>
      <c r="G19" s="23"/>
      <c r="H19" s="87"/>
    </row>
    <row r="20" spans="1:16" ht="30">
      <c r="A20" s="174" t="s">
        <v>120</v>
      </c>
      <c r="B20" s="175" t="s">
        <v>219</v>
      </c>
      <c r="C20" s="167">
        <v>0.7</v>
      </c>
      <c r="D20" s="16"/>
      <c r="E20" s="16"/>
      <c r="F20" s="157"/>
      <c r="G20" s="16"/>
      <c r="H20" s="160"/>
    </row>
    <row r="21" spans="1:16">
      <c r="A21" s="65"/>
      <c r="B21" s="35"/>
      <c r="C21" s="35"/>
      <c r="D21" s="35"/>
      <c r="E21" s="35"/>
      <c r="F21" s="36"/>
      <c r="G21" s="35"/>
      <c r="H21" s="37"/>
    </row>
    <row r="22" spans="1:16" ht="15.75" thickBot="1">
      <c r="A22" s="74"/>
      <c r="B22" s="38"/>
      <c r="C22" s="38"/>
      <c r="D22" s="38"/>
      <c r="E22" s="38"/>
      <c r="F22" s="38"/>
      <c r="G22" s="38"/>
      <c r="H22" s="39"/>
    </row>
    <row r="23" spans="1:16" ht="15.75" thickBot="1">
      <c r="B23" s="35"/>
      <c r="C23" s="35"/>
      <c r="D23" s="35"/>
      <c r="E23" s="35"/>
      <c r="F23" s="36"/>
      <c r="G23" s="35"/>
      <c r="H23" s="35"/>
    </row>
    <row r="24" spans="1:16" ht="23.25">
      <c r="A24" s="195" t="s">
        <v>220</v>
      </c>
      <c r="B24" s="196"/>
      <c r="C24" s="197">
        <f>D7</f>
        <v>48</v>
      </c>
      <c r="D24" s="197" t="s">
        <v>4</v>
      </c>
      <c r="E24" s="198"/>
      <c r="F24" s="36"/>
      <c r="H24" s="199" t="s">
        <v>202</v>
      </c>
      <c r="I24" s="200"/>
      <c r="J24" s="201"/>
      <c r="K24" s="202"/>
      <c r="L24" s="202"/>
      <c r="M24" s="202"/>
      <c r="N24" s="203"/>
      <c r="P24" s="64"/>
    </row>
    <row r="25" spans="1:16">
      <c r="A25" s="169" t="s">
        <v>53</v>
      </c>
      <c r="B25" s="155" t="s">
        <v>150</v>
      </c>
      <c r="C25" s="161" t="s">
        <v>54</v>
      </c>
      <c r="D25" s="70">
        <f>'Segment Flow'!B46</f>
        <v>35.295622192038259</v>
      </c>
      <c r="E25" s="86" t="s">
        <v>55</v>
      </c>
      <c r="F25" s="36"/>
      <c r="H25" s="204" t="s">
        <v>221</v>
      </c>
      <c r="I25" s="205"/>
      <c r="J25" s="206"/>
      <c r="K25" s="207"/>
      <c r="L25" s="207"/>
      <c r="M25" s="207"/>
      <c r="N25" s="208"/>
      <c r="O25" s="64"/>
      <c r="P25" s="50"/>
    </row>
    <row r="26" spans="1:16">
      <c r="A26" s="169"/>
      <c r="B26" s="176"/>
      <c r="C26" s="161"/>
      <c r="D26" s="70">
        <f>D25*7.48*60</f>
        <v>15840.675239786773</v>
      </c>
      <c r="E26" s="86" t="s">
        <v>56</v>
      </c>
      <c r="F26" s="36"/>
      <c r="H26" s="209" t="s">
        <v>189</v>
      </c>
      <c r="I26" s="210">
        <v>2.5</v>
      </c>
      <c r="J26" s="207" t="s">
        <v>55</v>
      </c>
      <c r="K26" s="207"/>
      <c r="L26" s="207"/>
      <c r="M26" s="207"/>
      <c r="N26" s="208"/>
    </row>
    <row r="27" spans="1:16" ht="15.75" thickBot="1">
      <c r="A27" s="169"/>
      <c r="B27" s="176"/>
      <c r="C27" s="161"/>
      <c r="D27" s="70"/>
      <c r="E27" s="86"/>
      <c r="F27" s="36"/>
      <c r="H27" s="211" t="s">
        <v>190</v>
      </c>
      <c r="I27" s="212"/>
      <c r="J27" s="213" t="s">
        <v>191</v>
      </c>
      <c r="K27" s="213"/>
      <c r="L27" s="213"/>
      <c r="M27" s="213"/>
      <c r="N27" s="214"/>
    </row>
    <row r="28" spans="1:16">
      <c r="A28" s="169" t="s">
        <v>57</v>
      </c>
      <c r="B28" s="176" t="s">
        <v>199</v>
      </c>
      <c r="C28" s="161" t="s">
        <v>58</v>
      </c>
      <c r="D28" s="70">
        <f>'Segment Flow'!B47</f>
        <v>11.234945482733774</v>
      </c>
      <c r="E28" s="86" t="s">
        <v>59</v>
      </c>
      <c r="F28" s="36"/>
    </row>
    <row r="29" spans="1:16">
      <c r="A29" s="169"/>
      <c r="B29" s="176"/>
      <c r="C29" s="161"/>
      <c r="D29" s="70"/>
      <c r="E29" s="86"/>
      <c r="F29" s="36"/>
    </row>
    <row r="30" spans="1:16" ht="30">
      <c r="A30" s="169" t="s">
        <v>233</v>
      </c>
      <c r="B30" s="155" t="s">
        <v>223</v>
      </c>
      <c r="C30" s="161"/>
      <c r="D30" s="168">
        <f>'Angle to Area'!F9</f>
        <v>0.22665587698880485</v>
      </c>
      <c r="E30" s="86" t="s">
        <v>32</v>
      </c>
      <c r="F30" s="36"/>
    </row>
    <row r="31" spans="1:16" ht="30" hidden="1">
      <c r="A31" s="169" t="s">
        <v>151</v>
      </c>
      <c r="B31" s="176" t="s">
        <v>224</v>
      </c>
      <c r="C31" s="161"/>
      <c r="D31" s="70">
        <f>((D30*4)/PI())^0.5*12</f>
        <v>6.4464378140600713</v>
      </c>
      <c r="E31" s="86" t="s">
        <v>4</v>
      </c>
      <c r="F31" s="36"/>
    </row>
    <row r="32" spans="1:16">
      <c r="A32" s="169"/>
      <c r="B32" s="176"/>
      <c r="C32" s="161"/>
      <c r="D32" s="168"/>
      <c r="E32" s="86"/>
      <c r="F32" s="36"/>
    </row>
    <row r="33" spans="1:16" ht="45">
      <c r="A33" s="169" t="s">
        <v>119</v>
      </c>
      <c r="B33" s="176" t="s">
        <v>225</v>
      </c>
      <c r="C33" s="161" t="s">
        <v>33</v>
      </c>
      <c r="D33" s="168">
        <f>'Segment Flow'!B49</f>
        <v>3.1415926535897931</v>
      </c>
      <c r="E33" s="86" t="s">
        <v>32</v>
      </c>
      <c r="F33" s="36"/>
    </row>
    <row r="34" spans="1:16">
      <c r="A34" s="169"/>
      <c r="B34" s="177"/>
      <c r="C34" s="161"/>
      <c r="D34" s="70"/>
      <c r="E34" s="86"/>
      <c r="F34" s="48"/>
    </row>
    <row r="35" spans="1:16">
      <c r="A35" s="151" t="s">
        <v>69</v>
      </c>
      <c r="B35" s="150"/>
      <c r="C35" s="150"/>
      <c r="D35" s="150"/>
      <c r="E35" s="152"/>
      <c r="F35" s="36"/>
    </row>
    <row r="36" spans="1:16">
      <c r="A36" s="178" t="s">
        <v>226</v>
      </c>
      <c r="B36" s="179" t="s">
        <v>152</v>
      </c>
      <c r="C36" s="133"/>
      <c r="D36" s="133">
        <f>IF('Static Force'!B11&lt;0,0,'Static Force'!B11)</f>
        <v>8416.4523826731984</v>
      </c>
      <c r="E36" s="134" t="s">
        <v>82</v>
      </c>
      <c r="F36" s="36"/>
    </row>
    <row r="37" spans="1:16" ht="30">
      <c r="A37" s="178" t="s">
        <v>234</v>
      </c>
      <c r="B37" s="179" t="s">
        <v>201</v>
      </c>
      <c r="C37" s="133"/>
      <c r="D37" s="133">
        <f>'Static Force'!B13</f>
        <v>7717.641020305131</v>
      </c>
      <c r="E37" s="134" t="s">
        <v>82</v>
      </c>
      <c r="F37" s="36"/>
    </row>
    <row r="38" spans="1:16">
      <c r="A38" s="178" t="s">
        <v>235</v>
      </c>
      <c r="B38" s="179" t="s">
        <v>227</v>
      </c>
      <c r="C38" s="88" t="s">
        <v>85</v>
      </c>
      <c r="D38" s="138" t="str">
        <f>IF(D36&gt;D37,"Open","Closed")</f>
        <v>Open</v>
      </c>
      <c r="E38" s="134"/>
      <c r="F38" s="36"/>
    </row>
    <row r="39" spans="1:16" ht="14.45" customHeight="1">
      <c r="A39" s="178" t="s">
        <v>90</v>
      </c>
      <c r="B39" s="179" t="s">
        <v>200</v>
      </c>
      <c r="C39" s="135"/>
      <c r="D39" s="135">
        <f>IF(D36&lt;D37,"None",D36-D37)</f>
        <v>698.81136236806742</v>
      </c>
      <c r="E39" s="134" t="s">
        <v>82</v>
      </c>
      <c r="F39" s="36"/>
    </row>
    <row r="40" spans="1:16">
      <c r="A40" s="178"/>
      <c r="B40" s="179"/>
      <c r="C40" s="135"/>
      <c r="D40" s="135"/>
      <c r="E40" s="134"/>
      <c r="F40" s="36"/>
    </row>
    <row r="41" spans="1:16">
      <c r="A41" s="178" t="s">
        <v>107</v>
      </c>
      <c r="B41" s="179" t="s">
        <v>153</v>
      </c>
      <c r="C41" s="135"/>
      <c r="D41" s="135" t="str">
        <f>IFERROR(IF(D36&gt;D37,'Angle of Opening'!C18,0),"Fully Open")</f>
        <v>Fully Open</v>
      </c>
      <c r="E41" s="134" t="s">
        <v>9</v>
      </c>
      <c r="F41" s="36"/>
    </row>
    <row r="42" spans="1:16" ht="15.75" thickBot="1">
      <c r="A42" s="180"/>
      <c r="B42" s="181"/>
      <c r="C42" s="136"/>
      <c r="D42" s="136"/>
      <c r="E42" s="137"/>
      <c r="F42" s="36"/>
    </row>
    <row r="44" spans="1:16">
      <c r="B44" s="89"/>
      <c r="C44" s="89"/>
      <c r="D44" s="20"/>
      <c r="H44" s="64"/>
    </row>
    <row r="45" spans="1:16" s="64" customFormat="1" ht="23.25">
      <c r="A45" s="121" t="s">
        <v>222</v>
      </c>
      <c r="B45"/>
      <c r="C45"/>
      <c r="D45"/>
      <c r="E45"/>
      <c r="F45" s="9"/>
      <c r="H45"/>
      <c r="M45"/>
      <c r="N45"/>
      <c r="O45"/>
      <c r="P45"/>
    </row>
    <row r="46" spans="1:16" ht="48" customHeight="1">
      <c r="A46" s="289" t="s">
        <v>237</v>
      </c>
      <c r="B46" s="289"/>
      <c r="C46" s="289"/>
      <c r="D46" s="289"/>
      <c r="E46" s="289"/>
      <c r="F46" s="289"/>
    </row>
    <row r="47" spans="1:16">
      <c r="A47"/>
    </row>
    <row r="48" spans="1:16" ht="30">
      <c r="A48" s="182" t="s">
        <v>236</v>
      </c>
      <c r="B48" s="183" t="s">
        <v>129</v>
      </c>
      <c r="C48" s="183" t="s">
        <v>130</v>
      </c>
      <c r="D48" s="183" t="s">
        <v>194</v>
      </c>
      <c r="E48" s="182" t="s">
        <v>238</v>
      </c>
      <c r="F48" s="182" t="s">
        <v>239</v>
      </c>
    </row>
    <row r="49" spans="1:6">
      <c r="A49" s="139">
        <f>IF('Data Table Input'!A42="","",'Data Table Input'!A42)</f>
        <v>1</v>
      </c>
      <c r="B49" s="140">
        <f>IF('Data Table Input'!A42="","",'Data Table Input'!B42)</f>
        <v>8.7178805822423946E-2</v>
      </c>
      <c r="C49" s="140">
        <f>IF('Data Table Input'!A42="","",'Data Table Input'!C42)</f>
        <v>1.946406420894238</v>
      </c>
      <c r="D49" s="140" t="str">
        <f>IF('Data Table Input'!A42="","",'Data Table Input'!D42)</f>
        <v>Closed</v>
      </c>
      <c r="E49" s="140">
        <f>IF('Data Table Input'!A42="","",'Data Table Input'!F42)</f>
        <v>0</v>
      </c>
      <c r="F49" s="140">
        <f>IF('Data Table Input'!A42="","",'Data Table Input'!G42)</f>
        <v>8.3333333333333329E-2</v>
      </c>
    </row>
    <row r="50" spans="1:6">
      <c r="A50" s="139">
        <f>IF('Data Table Input'!A43="","",'Data Table Input'!A43)</f>
        <v>2</v>
      </c>
      <c r="B50" s="140">
        <f>IF('Data Table Input'!A43="","",'Data Table Input'!B43)</f>
        <v>0.38115133768669596</v>
      </c>
      <c r="C50" s="140">
        <f>IF('Data Table Input'!A43="","",'Data Table Input'!C43)</f>
        <v>3.0481569789050491</v>
      </c>
      <c r="D50" s="140" t="str">
        <f>IF('Data Table Input'!A43="","",'Data Table Input'!D43)</f>
        <v>Closed</v>
      </c>
      <c r="E50" s="140">
        <f>IF('Data Table Input'!A43="","",'Data Table Input'!F43)</f>
        <v>0</v>
      </c>
      <c r="F50" s="140">
        <f>IF('Data Table Input'!A43="","",'Data Table Input'!G43)</f>
        <v>0.16666666666666666</v>
      </c>
    </row>
    <row r="51" spans="1:6">
      <c r="A51" s="139">
        <f>IF('Data Table Input'!A44="","",'Data Table Input'!A44)</f>
        <v>3</v>
      </c>
      <c r="B51" s="140">
        <f>IF('Data Table Input'!A44="","",'Data Table Input'!B44)</f>
        <v>0.63661660532760866</v>
      </c>
      <c r="C51" s="140">
        <f>IF('Data Table Input'!A44="","",'Data Table Input'!C44)</f>
        <v>2.8087363706834432</v>
      </c>
      <c r="D51" s="140" t="str">
        <f>IF('Data Table Input'!A44="","",'Data Table Input'!D44)</f>
        <v>Closed</v>
      </c>
      <c r="E51" s="140">
        <f>IF('Data Table Input'!A44="","",'Data Table Input'!F44)</f>
        <v>0</v>
      </c>
      <c r="F51" s="140">
        <f>IF('Data Table Input'!A44="","",'Data Table Input'!G44)</f>
        <v>0.25</v>
      </c>
    </row>
    <row r="52" spans="1:6">
      <c r="A52" s="139">
        <f>IF('Data Table Input'!A45="","",'Data Table Input'!A45)</f>
        <v>4</v>
      </c>
      <c r="B52" s="140">
        <f>IF('Data Table Input'!A45="","",'Data Table Input'!B45)</f>
        <v>0.73510153691296132</v>
      </c>
      <c r="C52" s="140">
        <f>IF('Data Table Input'!A45="","",'Data Table Input'!C45)</f>
        <v>3.2432493993935574</v>
      </c>
      <c r="D52" s="140" t="str">
        <f>IF('Data Table Input'!A45="","",'Data Table Input'!D45)</f>
        <v>Closed</v>
      </c>
      <c r="E52" s="140">
        <f>IF('Data Table Input'!A45="","",'Data Table Input'!F45)</f>
        <v>0</v>
      </c>
      <c r="F52" s="140">
        <f>IF('Data Table Input'!A45="","",'Data Table Input'!G45)</f>
        <v>0.33333333333333331</v>
      </c>
    </row>
    <row r="53" spans="1:6">
      <c r="A53" s="139">
        <f>IF('Data Table Input'!A46="","",'Data Table Input'!A46)</f>
        <v>5</v>
      </c>
      <c r="B53" s="140">
        <f>IF('Data Table Input'!A46="","",'Data Table Input'!B46)</f>
        <v>0.82186850345097606</v>
      </c>
      <c r="C53" s="140">
        <f>IF('Data Table Input'!A46="","",'Data Table Input'!C46)</f>
        <v>3.626063062514679</v>
      </c>
      <c r="D53" s="140" t="str">
        <f>IF('Data Table Input'!A46="","",'Data Table Input'!D46)</f>
        <v>Closed</v>
      </c>
      <c r="E53" s="140">
        <f>IF('Data Table Input'!A46="","",'Data Table Input'!F46)</f>
        <v>0</v>
      </c>
      <c r="F53" s="140">
        <f>IF('Data Table Input'!A46="","",'Data Table Input'!G46)</f>
        <v>0.41666666666666669</v>
      </c>
    </row>
    <row r="54" spans="1:6">
      <c r="A54" s="139">
        <f>IF('Data Table Input'!A47="","",'Data Table Input'!A47)</f>
        <v>6</v>
      </c>
      <c r="B54" s="140">
        <f>IF('Data Table Input'!A47="","",'Data Table Input'!B47)</f>
        <v>0.9003118372862241</v>
      </c>
      <c r="C54" s="140">
        <f>IF('Data Table Input'!A47="","",'Data Table Input'!C47)</f>
        <v>3.9721530685511102</v>
      </c>
      <c r="D54" s="140" t="str">
        <f>IF('Data Table Input'!A47="","",'Data Table Input'!D47)</f>
        <v>Closed</v>
      </c>
      <c r="E54" s="140">
        <f>IF('Data Table Input'!A47="","",'Data Table Input'!F47)</f>
        <v>0</v>
      </c>
      <c r="F54" s="140">
        <f>IF('Data Table Input'!A47="","",'Data Table Input'!G47)</f>
        <v>0.5</v>
      </c>
    </row>
    <row r="55" spans="1:6">
      <c r="A55" s="139">
        <f>IF('Data Table Input'!A48="","",'Data Table Input'!A48)</f>
        <v>7</v>
      </c>
      <c r="B55" s="140">
        <f>IF('Data Table Input'!A48="","",'Data Table Input'!B48)</f>
        <v>0.97244792752653131</v>
      </c>
      <c r="C55" s="140">
        <f>IF('Data Table Input'!A48="","",'Data Table Input'!C48)</f>
        <v>4.2904156752774743</v>
      </c>
      <c r="D55" s="140" t="str">
        <f>IF('Data Table Input'!A48="","",'Data Table Input'!D48)</f>
        <v>Closed</v>
      </c>
      <c r="E55" s="140">
        <f>IF('Data Table Input'!A48="","",'Data Table Input'!F48)</f>
        <v>0</v>
      </c>
      <c r="F55" s="140">
        <f>IF('Data Table Input'!A48="","",'Data Table Input'!G48)</f>
        <v>0.58333333333333337</v>
      </c>
    </row>
    <row r="56" spans="1:6">
      <c r="A56" s="139">
        <f>IF('Data Table Input'!A49="","",'Data Table Input'!A49)</f>
        <v>8</v>
      </c>
      <c r="B56" s="140">
        <f>IF('Data Table Input'!A49="","",'Data Table Input'!B49)</f>
        <v>1.0395905632236162</v>
      </c>
      <c r="C56" s="140">
        <f>IF('Data Table Input'!A49="","",'Data Table Input'!C49)</f>
        <v>4.5866472867807637</v>
      </c>
      <c r="D56" s="140" t="str">
        <f>IF('Data Table Input'!A49="","",'Data Table Input'!D49)</f>
        <v>Closed</v>
      </c>
      <c r="E56" s="140">
        <f>IF('Data Table Input'!A49="","",'Data Table Input'!F49)</f>
        <v>0</v>
      </c>
      <c r="F56" s="140">
        <f>IF('Data Table Input'!A49="","",'Data Table Input'!G49)</f>
        <v>0.66666666666666663</v>
      </c>
    </row>
    <row r="57" spans="1:6">
      <c r="A57" s="139">
        <f>IF('Data Table Input'!A50="","",'Data Table Input'!A50)</f>
        <v>9</v>
      </c>
      <c r="B57" s="140">
        <f>IF('Data Table Input'!A50="","",'Data Table Input'!B50)</f>
        <v>1.1026523053694417</v>
      </c>
      <c r="C57" s="140">
        <f>IF('Data Table Input'!A50="","",'Data Table Input'!C50)</f>
        <v>4.8648740990903345</v>
      </c>
      <c r="D57" s="140" t="str">
        <f>IF('Data Table Input'!A50="","",'Data Table Input'!D50)</f>
        <v>Closed</v>
      </c>
      <c r="E57" s="140">
        <f>IF('Data Table Input'!A50="","",'Data Table Input'!F50)</f>
        <v>0</v>
      </c>
      <c r="F57" s="140">
        <f>IF('Data Table Input'!A50="","",'Data Table Input'!G50)</f>
        <v>0.75</v>
      </c>
    </row>
    <row r="58" spans="1:6">
      <c r="A58" s="139">
        <f>IF('Data Table Input'!A51="","",'Data Table Input'!A51)</f>
        <v>10</v>
      </c>
      <c r="B58" s="140">
        <f>IF('Data Table Input'!A51="","",'Data Table Input'!B51)</f>
        <v>1.1622975840676493</v>
      </c>
      <c r="C58" s="140">
        <f>IF('Data Table Input'!A51="","",'Data Table Input'!C51)</f>
        <v>5.1280275610283788</v>
      </c>
      <c r="D58" s="140" t="str">
        <f>IF('Data Table Input'!A51="","",'Data Table Input'!D51)</f>
        <v>Closed</v>
      </c>
      <c r="E58" s="140">
        <f>IF('Data Table Input'!A51="","",'Data Table Input'!F51)</f>
        <v>0</v>
      </c>
      <c r="F58" s="140">
        <f>IF('Data Table Input'!A51="","",'Data Table Input'!G51)</f>
        <v>0.83333333333333337</v>
      </c>
    </row>
    <row r="59" spans="1:6">
      <c r="A59" s="139">
        <f>IF('Data Table Input'!A52="","",'Data Table Input'!A52)</f>
        <v>11</v>
      </c>
      <c r="B59" s="140">
        <f>IF('Data Table Input'!A52="","",'Data Table Input'!B52)</f>
        <v>1.219027990376941</v>
      </c>
      <c r="C59" s="140">
        <f>IF('Data Table Input'!A52="","",'Data Table Input'!C52)</f>
        <v>5.3783206796669649</v>
      </c>
      <c r="D59" s="140" t="str">
        <f>IF('Data Table Input'!A52="","",'Data Table Input'!D52)</f>
        <v>Closed</v>
      </c>
      <c r="E59" s="140">
        <f>IF('Data Table Input'!A52="","",'Data Table Input'!F52)</f>
        <v>0</v>
      </c>
      <c r="F59" s="140">
        <f>IF('Data Table Input'!A52="","",'Data Table Input'!G52)</f>
        <v>0.91666666666666663</v>
      </c>
    </row>
    <row r="60" spans="1:6">
      <c r="A60" s="139">
        <f>IF('Data Table Input'!A53="","",'Data Table Input'!A53)</f>
        <v>12</v>
      </c>
      <c r="B60" s="140">
        <f>IF('Data Table Input'!A53="","",'Data Table Input'!B53)</f>
        <v>1.2732332106552173</v>
      </c>
      <c r="C60" s="140">
        <f>IF('Data Table Input'!A53="","",'Data Table Input'!C53)</f>
        <v>5.6174727413668863</v>
      </c>
      <c r="D60" s="140" t="str">
        <f>IF('Data Table Input'!A53="","",'Data Table Input'!D53)</f>
        <v>Closed</v>
      </c>
      <c r="E60" s="140">
        <f>IF('Data Table Input'!A53="","",'Data Table Input'!F53)</f>
        <v>0</v>
      </c>
      <c r="F60" s="140">
        <f>IF('Data Table Input'!A53="","",'Data Table Input'!G53)</f>
        <v>1</v>
      </c>
    </row>
    <row r="61" spans="1:6">
      <c r="A61" s="139">
        <f>IF('Data Table Input'!A54="","",'Data Table Input'!A54)</f>
        <v>13</v>
      </c>
      <c r="B61" s="140">
        <f>IF('Data Table Input'!A54="","",'Data Table Input'!B54)</f>
        <v>1.325223142006033</v>
      </c>
      <c r="C61" s="140">
        <f>IF('Data Table Input'!A54="","",'Data Table Input'!C54)</f>
        <v>5.8468510043156279</v>
      </c>
      <c r="D61" s="140" t="str">
        <f>IF('Data Table Input'!A54="","",'Data Table Input'!D54)</f>
        <v>Closed</v>
      </c>
      <c r="E61" s="140">
        <f>IF('Data Table Input'!A54="","",'Data Table Input'!F54)</f>
        <v>0</v>
      </c>
      <c r="F61" s="140">
        <f>IF('Data Table Input'!A54="","",'Data Table Input'!G54)</f>
        <v>1.0833333333333333</v>
      </c>
    </row>
    <row r="62" spans="1:6">
      <c r="A62" s="139">
        <f>IF('Data Table Input'!A55="","",'Data Table Input'!A55)</f>
        <v>14</v>
      </c>
      <c r="B62" s="140">
        <f>IF('Data Table Input'!A55="","",'Data Table Input'!B55)</f>
        <v>1.3752490478096291</v>
      </c>
      <c r="C62" s="140">
        <f>IF('Data Table Input'!A55="","",'Data Table Input'!C55)</f>
        <v>6.0675640361955248</v>
      </c>
      <c r="D62" s="140" t="str">
        <f>IF('Data Table Input'!A55="","",'Data Table Input'!D55)</f>
        <v>Closed</v>
      </c>
      <c r="E62" s="140">
        <f>IF('Data Table Input'!A55="","",'Data Table Input'!F55)</f>
        <v>0</v>
      </c>
      <c r="F62" s="140">
        <f>IF('Data Table Input'!A55="","",'Data Table Input'!G55)</f>
        <v>1.1666666666666667</v>
      </c>
    </row>
    <row r="63" spans="1:6">
      <c r="A63" s="139">
        <f>IF('Data Table Input'!A56="","",'Data Table Input'!A56)</f>
        <v>15</v>
      </c>
      <c r="B63" s="140">
        <f>IF('Data Table Input'!A56="","",'Data Table Input'!B56)</f>
        <v>1.4235180051176879</v>
      </c>
      <c r="C63" s="140">
        <f>IF('Data Table Input'!A56="","",'Data Table Input'!C56)</f>
        <v>6.2805254557242272</v>
      </c>
      <c r="D63" s="140" t="str">
        <f>IF('Data Table Input'!A56="","",'Data Table Input'!D56)</f>
        <v>Closed</v>
      </c>
      <c r="E63" s="140">
        <f>IF('Data Table Input'!A56="","",'Data Table Input'!F56)</f>
        <v>0</v>
      </c>
      <c r="F63" s="140">
        <f>IF('Data Table Input'!A56="","",'Data Table Input'!G56)</f>
        <v>1.25</v>
      </c>
    </row>
    <row r="64" spans="1:6">
      <c r="A64" s="139">
        <f>IF('Data Table Input'!A57="","",'Data Table Input'!A57)</f>
        <v>16</v>
      </c>
      <c r="B64" s="140">
        <f>IF('Data Table Input'!A57="","",'Data Table Input'!B57)</f>
        <v>1.4702030738259226</v>
      </c>
      <c r="C64" s="140">
        <f>IF('Data Table Input'!A57="","",'Data Table Input'!C57)</f>
        <v>6.4864987987871148</v>
      </c>
      <c r="D64" s="140" t="str">
        <f>IF('Data Table Input'!A57="","",'Data Table Input'!D57)</f>
        <v>Closed</v>
      </c>
      <c r="E64" s="140">
        <f>IF('Data Table Input'!A57="","",'Data Table Input'!F57)</f>
        <v>0</v>
      </c>
      <c r="F64" s="140">
        <f>IF('Data Table Input'!A57="","",'Data Table Input'!G57)</f>
        <v>1.3333333333333333</v>
      </c>
    </row>
    <row r="65" spans="1:6">
      <c r="A65" s="139">
        <f>IF('Data Table Input'!A58="","",'Data Table Input'!A58)</f>
        <v>17</v>
      </c>
      <c r="B65" s="140">
        <f>IF('Data Table Input'!A58="","",'Data Table Input'!B58)</f>
        <v>1.5154506411230095</v>
      </c>
      <c r="C65" s="140">
        <f>IF('Data Table Input'!A58="","",'Data Table Input'!C58)</f>
        <v>6.6861299219603367</v>
      </c>
      <c r="D65" s="140" t="str">
        <f>IF('Data Table Input'!A58="","",'Data Table Input'!D58)</f>
        <v>Closed</v>
      </c>
      <c r="E65" s="140">
        <f>IF('Data Table Input'!A58="","",'Data Table Input'!F58)</f>
        <v>0</v>
      </c>
      <c r="F65" s="140">
        <f>IF('Data Table Input'!A58="","",'Data Table Input'!G58)</f>
        <v>1.4166666666666667</v>
      </c>
    </row>
    <row r="66" spans="1:6">
      <c r="A66" s="139">
        <f>IF('Data Table Input'!A59="","",'Data Table Input'!A59)</f>
        <v>18</v>
      </c>
      <c r="B66" s="140">
        <f>IF('Data Table Input'!A59="","",'Data Table Input'!B59)</f>
        <v>1.5593858448354241</v>
      </c>
      <c r="C66" s="140">
        <f>IF('Data Table Input'!A59="","",'Data Table Input'!C59)</f>
        <v>6.8799709301711438</v>
      </c>
      <c r="D66" s="140" t="str">
        <f>IF('Data Table Input'!A59="","",'Data Table Input'!D59)</f>
        <v>Closed</v>
      </c>
      <c r="E66" s="140">
        <f>IF('Data Table Input'!A59="","",'Data Table Input'!F59)</f>
        <v>0</v>
      </c>
      <c r="F66" s="140">
        <f>IF('Data Table Input'!A59="","",'Data Table Input'!G59)</f>
        <v>1.5</v>
      </c>
    </row>
    <row r="67" spans="1:6">
      <c r="A67" s="139">
        <f>IF('Data Table Input'!A60="","",'Data Table Input'!A60)</f>
        <v>19</v>
      </c>
      <c r="B67" s="140">
        <f>IF('Data Table Input'!A60="","",'Data Table Input'!B60)</f>
        <v>1.602116656322516</v>
      </c>
      <c r="C67" s="140">
        <f>IF('Data Table Input'!A60="","",'Data Table Input'!C60)</f>
        <v>7.0684981903277491</v>
      </c>
      <c r="D67" s="140" t="str">
        <f>IF('Data Table Input'!A60="","",'Data Table Input'!D60)</f>
        <v>Closed</v>
      </c>
      <c r="E67" s="140">
        <f>IF('Data Table Input'!A60="","",'Data Table Input'!F60)</f>
        <v>0</v>
      </c>
      <c r="F67" s="140">
        <f>IF('Data Table Input'!A60="","",'Data Table Input'!G60)</f>
        <v>1.5833333333333333</v>
      </c>
    </row>
    <row r="68" spans="1:6">
      <c r="A68" s="139">
        <f>IF('Data Table Input'!A61="","",'Data Table Input'!A61)</f>
        <v>20</v>
      </c>
      <c r="B68" s="140">
        <f>IF('Data Table Input'!A61="","",'Data Table Input'!B61)</f>
        <v>1.6437370069019521</v>
      </c>
      <c r="C68" s="140">
        <f>IF('Data Table Input'!A61="","",'Data Table Input'!C61)</f>
        <v>7.2521261250293581</v>
      </c>
      <c r="D68" s="140" t="str">
        <f>IF('Data Table Input'!A61="","",'Data Table Input'!D61)</f>
        <v>Closed</v>
      </c>
      <c r="E68" s="140">
        <f>IF('Data Table Input'!A61="","",'Data Table Input'!F61)</f>
        <v>0</v>
      </c>
      <c r="F68" s="140">
        <f>IF('Data Table Input'!A61="","",'Data Table Input'!G61)</f>
        <v>1.6666666666666667</v>
      </c>
    </row>
    <row r="69" spans="1:6">
      <c r="A69" s="139">
        <f>IF('Data Table Input'!A62="","",'Data Table Input'!A62)</f>
        <v>21</v>
      </c>
      <c r="B69" s="140">
        <f>IF('Data Table Input'!A62="","",'Data Table Input'!B62)</f>
        <v>1.6843292181910099</v>
      </c>
      <c r="C69" s="140">
        <f>IF('Data Table Input'!A62="","",'Data Table Input'!C62)</f>
        <v>7.4312179351705208</v>
      </c>
      <c r="D69" s="140" t="str">
        <f>IF('Data Table Input'!A62="","",'Data Table Input'!D62)</f>
        <v>Closed</v>
      </c>
      <c r="E69" s="140">
        <f>IF('Data Table Input'!A62="","",'Data Table Input'!F62)</f>
        <v>0</v>
      </c>
      <c r="F69" s="140">
        <f>IF('Data Table Input'!A62="","",'Data Table Input'!G62)</f>
        <v>1.75</v>
      </c>
    </row>
    <row r="70" spans="1:6">
      <c r="A70" s="139">
        <f>IF('Data Table Input'!A63="","",'Data Table Input'!A63)</f>
        <v>22</v>
      </c>
      <c r="B70" s="140">
        <f>IF('Data Table Input'!A63="","",'Data Table Input'!B63)</f>
        <v>1.7239659169034889</v>
      </c>
      <c r="C70" s="140">
        <f>IF('Data Table Input'!A63="","",'Data Table Input'!C63)</f>
        <v>7.6060940479767059</v>
      </c>
      <c r="D70" s="140" t="str">
        <f>IF('Data Table Input'!A63="","",'Data Table Input'!D63)</f>
        <v>Closed</v>
      </c>
      <c r="E70" s="140">
        <f>IF('Data Table Input'!A63="","",'Data Table Input'!F63)</f>
        <v>0</v>
      </c>
      <c r="F70" s="140">
        <f>IF('Data Table Input'!A63="","",'Data Table Input'!G63)</f>
        <v>1.8333333333333333</v>
      </c>
    </row>
    <row r="71" spans="1:6">
      <c r="A71" s="139">
        <f>IF('Data Table Input'!A64="","",'Data Table Input'!A64)</f>
        <v>23</v>
      </c>
      <c r="B71" s="140">
        <f>IF('Data Table Input'!A64="","",'Data Table Input'!B64)</f>
        <v>1.762711561781404</v>
      </c>
      <c r="C71" s="140">
        <f>IF('Data Table Input'!A64="","",'Data Table Input'!C64)</f>
        <v>7.7770388537883317</v>
      </c>
      <c r="D71" s="140" t="str">
        <f>IF('Data Table Input'!A64="","",'Data Table Input'!D64)</f>
        <v>Closed</v>
      </c>
      <c r="E71" s="140">
        <f>IF('Data Table Input'!A64="","",'Data Table Input'!F64)</f>
        <v>0</v>
      </c>
      <c r="F71" s="140">
        <f>IF('Data Table Input'!A64="","",'Data Table Input'!G64)</f>
        <v>1.9166666666666667</v>
      </c>
    </row>
    <row r="72" spans="1:6">
      <c r="A72" s="139">
        <f>IF('Data Table Input'!A65="","",'Data Table Input'!A65)</f>
        <v>24</v>
      </c>
      <c r="B72" s="140">
        <f>IF('Data Table Input'!A65="","",'Data Table Input'!B65)</f>
        <v>1.8006236745724482</v>
      </c>
      <c r="C72" s="140">
        <f>IF('Data Table Input'!A65="","",'Data Table Input'!C65)</f>
        <v>7.9443061371022203</v>
      </c>
      <c r="D72" s="140" t="str">
        <f>IF('Data Table Input'!A65="","",'Data Table Input'!D65)</f>
        <v>Closed</v>
      </c>
      <c r="E72" s="140">
        <f>IF('Data Table Input'!A65="","",'Data Table Input'!F65)</f>
        <v>0</v>
      </c>
      <c r="F72" s="140">
        <f>IF('Data Table Input'!A65="","",'Data Table Input'!G65)</f>
        <v>2</v>
      </c>
    </row>
    <row r="73" spans="1:6">
      <c r="A73" s="139">
        <f>IF('Data Table Input'!A66="","",'Data Table Input'!A66)</f>
        <v>25</v>
      </c>
      <c r="B73" s="140">
        <f>IF('Data Table Input'!A66="","",'Data Table Input'!B66)</f>
        <v>1.8377538422824031</v>
      </c>
      <c r="C73" s="140">
        <f>IF('Data Table Input'!A66="","",'Data Table Input'!C66)</f>
        <v>8.1081234984838915</v>
      </c>
      <c r="D73" s="140" t="str">
        <f>IF('Data Table Input'!A66="","",'Data Table Input'!D66)</f>
        <v>Closed</v>
      </c>
      <c r="E73" s="140">
        <f>IF('Data Table Input'!A66="","",'Data Table Input'!F66)</f>
        <v>0</v>
      </c>
      <c r="F73" s="140">
        <f>IF('Data Table Input'!A66="","",'Data Table Input'!G66)</f>
        <v>2.0833333333333335</v>
      </c>
    </row>
    <row r="74" spans="1:6">
      <c r="A74" s="139">
        <f>IF('Data Table Input'!A67="","",'Data Table Input'!A67)</f>
        <v>26</v>
      </c>
      <c r="B74" s="140">
        <f>IF('Data Table Input'!A67="","",'Data Table Input'!B67)</f>
        <v>1.874148540595618</v>
      </c>
      <c r="C74" s="140">
        <f>IF('Data Table Input'!A67="","",'Data Table Input'!C67)</f>
        <v>8.268695987477912</v>
      </c>
      <c r="D74" s="140" t="str">
        <f>IF('Data Table Input'!A67="","",'Data Table Input'!D67)</f>
        <v>Closed</v>
      </c>
      <c r="E74" s="140">
        <f>IF('Data Table Input'!A67="","",'Data Table Input'!F67)</f>
        <v>0</v>
      </c>
      <c r="F74" s="140">
        <f>IF('Data Table Input'!A67="","",'Data Table Input'!G67)</f>
        <v>2.1666666666666665</v>
      </c>
    </row>
    <row r="75" spans="1:6">
      <c r="A75" s="139">
        <f>IF('Data Table Input'!A68="","",'Data Table Input'!A68)</f>
        <v>27</v>
      </c>
      <c r="B75" s="140">
        <f>IF('Data Table Input'!A68="","",'Data Table Input'!B68)</f>
        <v>1.9098498159828259</v>
      </c>
      <c r="C75" s="140">
        <f>IF('Data Table Input'!A68="","",'Data Table Input'!C68)</f>
        <v>8.4262091120503282</v>
      </c>
      <c r="D75" s="140" t="str">
        <f>IF('Data Table Input'!A68="","",'Data Table Input'!D68)</f>
        <v>Closed</v>
      </c>
      <c r="E75" s="140">
        <f>IF('Data Table Input'!A68="","",'Data Table Input'!F68)</f>
        <v>0</v>
      </c>
      <c r="F75" s="140">
        <f>IF('Data Table Input'!A68="","",'Data Table Input'!G68)</f>
        <v>2.25</v>
      </c>
    </row>
    <row r="76" spans="1:6">
      <c r="A76" s="139">
        <f>IF('Data Table Input'!A69="","",'Data Table Input'!A69)</f>
        <v>28</v>
      </c>
      <c r="B76" s="140">
        <f>IF('Data Table Input'!A69="","",'Data Table Input'!B69)</f>
        <v>1.9448958550530626</v>
      </c>
      <c r="C76" s="140">
        <f>IF('Data Table Input'!A69="","",'Data Table Input'!C69)</f>
        <v>8.5808313505549485</v>
      </c>
      <c r="D76" s="140" t="str">
        <f>IF('Data Table Input'!A69="","",'Data Table Input'!D69)</f>
        <v>Closed</v>
      </c>
      <c r="E76" s="140">
        <f>IF('Data Table Input'!A69="","",'Data Table Input'!F69)</f>
        <v>0</v>
      </c>
      <c r="F76" s="140">
        <f>IF('Data Table Input'!A69="","",'Data Table Input'!G69)</f>
        <v>2.3333333333333335</v>
      </c>
    </row>
    <row r="77" spans="1:6">
      <c r="A77" s="139">
        <f>IF('Data Table Input'!A70="","",'Data Table Input'!A70)</f>
        <v>29</v>
      </c>
      <c r="B77" s="140">
        <f>IF('Data Table Input'!A70="","",'Data Table Input'!B70)</f>
        <v>1.9793214631270819</v>
      </c>
      <c r="C77" s="140">
        <f>IF('Data Table Input'!A70="","",'Data Table Input'!C70)</f>
        <v>8.7327162631871484</v>
      </c>
      <c r="D77" s="140" t="str">
        <f>IF('Data Table Input'!A70="","",'Data Table Input'!D70)</f>
        <v>Closed</v>
      </c>
      <c r="E77" s="140">
        <f>IF('Data Table Input'!A70="","",'Data Table Input'!F70)</f>
        <v>0</v>
      </c>
      <c r="F77" s="140">
        <f>IF('Data Table Input'!A70="","",'Data Table Input'!G70)</f>
        <v>2.4166666666666665</v>
      </c>
    </row>
    <row r="78" spans="1:6">
      <c r="A78" s="139">
        <f>IF('Data Table Input'!A71="","",'Data Table Input'!A71)</f>
        <v>30</v>
      </c>
      <c r="B78" s="140">
        <f>IF('Data Table Input'!A71="","",'Data Table Input'!B71)</f>
        <v>2.0131584691197268</v>
      </c>
      <c r="C78" s="140">
        <f>IF('Data Table Input'!A71="","",'Data Table Input'!C71)</f>
        <v>8.882004278314664</v>
      </c>
      <c r="D78" s="140" t="str">
        <f>IF('Data Table Input'!A71="","",'Data Table Input'!D71)</f>
        <v>Closed</v>
      </c>
      <c r="E78" s="140">
        <f>IF('Data Table Input'!A71="","",'Data Table Input'!F71)</f>
        <v>0</v>
      </c>
      <c r="F78" s="140">
        <f>IF('Data Table Input'!A71="","",'Data Table Input'!G71)</f>
        <v>2.5</v>
      </c>
    </row>
    <row r="79" spans="1:6">
      <c r="A79" s="139">
        <f>IF('Data Table Input'!A72="","",'Data Table Input'!A72)</f>
        <v>31</v>
      </c>
      <c r="B79" s="140">
        <f>IF('Data Table Input'!A72="","",'Data Table Input'!B72)</f>
        <v>2.0464360701427817</v>
      </c>
      <c r="C79" s="140">
        <f>IF('Data Table Input'!A72="","",'Data Table Input'!C72)</f>
        <v>9.0288242128566587</v>
      </c>
      <c r="D79" s="140" t="str">
        <f>IF('Data Table Input'!A72="","",'Data Table Input'!D72)</f>
        <v>Closed</v>
      </c>
      <c r="E79" s="140">
        <f>IF('Data Table Input'!A72="","",'Data Table Input'!F72)</f>
        <v>0</v>
      </c>
      <c r="F79" s="140">
        <f>IF('Data Table Input'!A72="","",'Data Table Input'!G72)</f>
        <v>2.5833333333333335</v>
      </c>
    </row>
    <row r="80" spans="1:6">
      <c r="A80" s="139">
        <f>IF('Data Table Input'!A73="","",'Data Table Input'!A73)</f>
        <v>32</v>
      </c>
      <c r="B80" s="140">
        <f>IF('Data Table Input'!A73="","",'Data Table Input'!B73)</f>
        <v>2.0791811264472324</v>
      </c>
      <c r="C80" s="140">
        <f>IF('Data Table Input'!A73="","",'Data Table Input'!C73)</f>
        <v>9.1732945735615274</v>
      </c>
      <c r="D80" s="140" t="str">
        <f>IF('Data Table Input'!A73="","",'Data Table Input'!D73)</f>
        <v>Closed</v>
      </c>
      <c r="E80" s="140">
        <f>IF('Data Table Input'!A73="","",'Data Table Input'!F73)</f>
        <v>0</v>
      </c>
      <c r="F80" s="140">
        <f>IF('Data Table Input'!A73="","",'Data Table Input'!G73)</f>
        <v>2.6666666666666665</v>
      </c>
    </row>
    <row r="81" spans="1:6">
      <c r="A81" s="139">
        <f>IF('Data Table Input'!A74="","",'Data Table Input'!A74)</f>
        <v>33</v>
      </c>
      <c r="B81" s="140">
        <f>IF('Data Table Input'!A74="","",'Data Table Input'!B74)</f>
        <v>2.1114184151814466</v>
      </c>
      <c r="C81" s="140">
        <f>IF('Data Table Input'!A74="","",'Data Table Input'!C74)</f>
        <v>9.3155246765815622</v>
      </c>
      <c r="D81" s="140" t="str">
        <f>IF('Data Table Input'!A74="","",'Data Table Input'!D74)</f>
        <v>Closed</v>
      </c>
      <c r="E81" s="140">
        <f>IF('Data Table Input'!A74="","",'Data Table Input'!F74)</f>
        <v>0</v>
      </c>
      <c r="F81" s="140">
        <f>IF('Data Table Input'!A74="","",'Data Table Input'!G74)</f>
        <v>2.75</v>
      </c>
    </row>
    <row r="82" spans="1:6">
      <c r="A82" s="139">
        <f>IF('Data Table Input'!A75="","",'Data Table Input'!A75)</f>
        <v>34</v>
      </c>
      <c r="B82" s="140">
        <f>IF('Data Table Input'!A75="","",'Data Table Input'!B75)</f>
        <v>2.1431708497831621</v>
      </c>
      <c r="C82" s="140">
        <f>IF('Data Table Input'!A75="","",'Data Table Input'!C75)</f>
        <v>9.4556156154248718</v>
      </c>
      <c r="D82" s="140" t="str">
        <f>IF('Data Table Input'!A75="","",'Data Table Input'!D75)</f>
        <v>Closed</v>
      </c>
      <c r="E82" s="140">
        <f>IF('Data Table Input'!A75="","",'Data Table Input'!F75)</f>
        <v>0</v>
      </c>
      <c r="F82" s="140">
        <f>IF('Data Table Input'!A75="","",'Data Table Input'!G75)</f>
        <v>2.8333333333333335</v>
      </c>
    </row>
    <row r="83" spans="1:6">
      <c r="A83" s="139">
        <f>IF('Data Table Input'!A76="","",'Data Table Input'!A76)</f>
        <v>35</v>
      </c>
      <c r="B83" s="140">
        <f>IF('Data Table Input'!A76="","",'Data Table Input'!B76)</f>
        <v>2.1744596705281127</v>
      </c>
      <c r="C83" s="140">
        <f>IF('Data Table Input'!A76="","",'Data Table Input'!C76)</f>
        <v>9.5936611016510955</v>
      </c>
      <c r="D83" s="140" t="str">
        <f>IF('Data Table Input'!A76="","",'Data Table Input'!D76)</f>
        <v>Closed</v>
      </c>
      <c r="E83" s="140">
        <f>IF('Data Table Input'!A76="","",'Data Table Input'!F76)</f>
        <v>0</v>
      </c>
      <c r="F83" s="140">
        <f>IF('Data Table Input'!A76="","",'Data Table Input'!G76)</f>
        <v>2.9166666666666665</v>
      </c>
    </row>
    <row r="84" spans="1:6">
      <c r="A84" s="139">
        <f>IF('Data Table Input'!A77="","",'Data Table Input'!A77)</f>
        <v>36</v>
      </c>
      <c r="B84" s="140">
        <f>IF('Data Table Input'!A77="","",'Data Table Input'!B77)</f>
        <v>2.2053046107388834</v>
      </c>
      <c r="C84" s="140">
        <f>IF('Data Table Input'!A77="","",'Data Table Input'!C77)</f>
        <v>9.729748198180669</v>
      </c>
      <c r="D84" s="140" t="str">
        <f>IF('Data Table Input'!A77="","",'Data Table Input'!D77)</f>
        <v>Closed</v>
      </c>
      <c r="E84" s="140">
        <f>IF('Data Table Input'!A77="","",'Data Table Input'!F77)</f>
        <v>0</v>
      </c>
      <c r="F84" s="140">
        <f>IF('Data Table Input'!A77="","",'Data Table Input'!G77)</f>
        <v>3</v>
      </c>
    </row>
    <row r="85" spans="1:6">
      <c r="A85" s="139">
        <f>IF('Data Table Input'!A78="","",'Data Table Input'!A78)</f>
        <v>37</v>
      </c>
      <c r="B85" s="140">
        <f>IF('Data Table Input'!A78="","",'Data Table Input'!B78)</f>
        <v>2.2357240423493971</v>
      </c>
      <c r="C85" s="140">
        <f>IF('Data Table Input'!A78="","",'Data Table Input'!C78)</f>
        <v>9.8639579615216668</v>
      </c>
      <c r="D85" s="140" t="str">
        <f>IF('Data Table Input'!A78="","",'Data Table Input'!D78)</f>
        <v>Closed</v>
      </c>
      <c r="E85" s="140">
        <f>IF('Data Table Input'!A78="","",'Data Table Input'!F78)</f>
        <v>0</v>
      </c>
      <c r="F85" s="140">
        <f>IF('Data Table Input'!A78="","",'Data Table Input'!G78)</f>
        <v>3.0833333333333335</v>
      </c>
    </row>
    <row r="86" spans="1:6">
      <c r="A86" s="139">
        <f>IF('Data Table Input'!A79="","",'Data Table Input'!A79)</f>
        <v>38</v>
      </c>
      <c r="B86" s="140">
        <f>IF('Data Table Input'!A79="","",'Data Table Input'!B79)</f>
        <v>2.2657351038751368</v>
      </c>
      <c r="C86" s="140">
        <f>IF('Data Table Input'!A79="","",'Data Table Input'!C79)</f>
        <v>9.996366006371181</v>
      </c>
      <c r="D86" s="140" t="str">
        <f>IF('Data Table Input'!A79="","",'Data Table Input'!D79)</f>
        <v>Closed</v>
      </c>
      <c r="E86" s="140">
        <f>IF('Data Table Input'!A79="","",'Data Table Input'!F79)</f>
        <v>0</v>
      </c>
      <c r="F86" s="140">
        <f>IF('Data Table Input'!A79="","",'Data Table Input'!G79)</f>
        <v>3.1666666666666665</v>
      </c>
    </row>
    <row r="87" spans="1:6">
      <c r="A87" s="139">
        <f>IF('Data Table Input'!A80="","",'Data Table Input'!A80)</f>
        <v>39</v>
      </c>
      <c r="B87" s="140">
        <f>IF('Data Table Input'!A80="","",'Data Table Input'!B80)</f>
        <v>2.2953538133205145</v>
      </c>
      <c r="C87" s="140">
        <f>IF('Data Table Input'!A80="","",'Data Table Input'!C80)</f>
        <v>10.127043003759784</v>
      </c>
      <c r="D87" s="140" t="str">
        <f>IF('Data Table Input'!A80="","",'Data Table Input'!D80)</f>
        <v>Closed</v>
      </c>
      <c r="E87" s="140">
        <f>IF('Data Table Input'!A80="","",'Data Table Input'!F80)</f>
        <v>0</v>
      </c>
      <c r="F87" s="140">
        <f>IF('Data Table Input'!A80="","",'Data Table Input'!G80)</f>
        <v>3.25</v>
      </c>
    </row>
    <row r="88" spans="1:6">
      <c r="A88" s="139">
        <f>IF('Data Table Input'!A81="","",'Data Table Input'!A81)</f>
        <v>40</v>
      </c>
      <c r="B88" s="140">
        <f>IF('Data Table Input'!A81="","",'Data Table Input'!B81)</f>
        <v>2.3245951681352985</v>
      </c>
      <c r="C88" s="140">
        <f>IF('Data Table Input'!A81="","",'Data Table Input'!C81)</f>
        <v>10.256055122056758</v>
      </c>
      <c r="D88" s="140" t="str">
        <f>IF('Data Table Input'!A81="","",'Data Table Input'!D81)</f>
        <v>Closed</v>
      </c>
      <c r="E88" s="140">
        <f>IF('Data Table Input'!A81="","",'Data Table Input'!F81)</f>
        <v>0</v>
      </c>
      <c r="F88" s="140">
        <f>IF('Data Table Input'!A81="","",'Data Table Input'!G81)</f>
        <v>3.3333333333333335</v>
      </c>
    </row>
    <row r="89" spans="1:6">
      <c r="A89" s="139">
        <f>IF('Data Table Input'!A82="","",'Data Table Input'!A82)</f>
        <v>41</v>
      </c>
      <c r="B89" s="140">
        <f>IF('Data Table Input'!A82="","",'Data Table Input'!B82)</f>
        <v>2.3534732339907598</v>
      </c>
      <c r="C89" s="140">
        <f>IF('Data Table Input'!A82="","",'Data Table Input'!C82)</f>
        <v>10.383464418648206</v>
      </c>
      <c r="D89" s="140" t="str">
        <f>IF('Data Table Input'!A82="","",'Data Table Input'!D82)</f>
        <v>Closed</v>
      </c>
      <c r="E89" s="140">
        <f>IF('Data Table Input'!A82="","",'Data Table Input'!F82)</f>
        <v>0</v>
      </c>
      <c r="F89" s="140">
        <f>IF('Data Table Input'!A82="","",'Data Table Input'!G82)</f>
        <v>3.4166666666666665</v>
      </c>
    </row>
    <row r="90" spans="1:6">
      <c r="A90" s="139">
        <f>IF('Data Table Input'!A83="","",'Data Table Input'!A83)</f>
        <v>42</v>
      </c>
      <c r="B90" s="140">
        <f>IF('Data Table Input'!A83="","",'Data Table Input'!B83)</f>
        <v>2.3820012238669981</v>
      </c>
      <c r="C90" s="140">
        <f>IF('Data Table Input'!A83="","",'Data Table Input'!C83)</f>
        <v>10.509329188868337</v>
      </c>
      <c r="D90" s="140" t="str">
        <f>IF('Data Table Input'!A83="","",'Data Table Input'!D83)</f>
        <v>Closed</v>
      </c>
      <c r="E90" s="140">
        <f>IF('Data Table Input'!A83="","",'Data Table Input'!F83)</f>
        <v>0</v>
      </c>
      <c r="F90" s="140">
        <f>IF('Data Table Input'!A83="","",'Data Table Input'!G83)</f>
        <v>3.5</v>
      </c>
    </row>
    <row r="91" spans="1:6">
      <c r="A91" s="139">
        <f>IF('Data Table Input'!A84="","",'Data Table Input'!A84)</f>
        <v>43</v>
      </c>
      <c r="B91" s="140">
        <f>IF('Data Table Input'!A84="","",'Data Table Input'!B84)</f>
        <v>2.4101915687133308</v>
      </c>
      <c r="C91" s="140">
        <f>IF('Data Table Input'!A84="","",'Data Table Input'!C84)</f>
        <v>10.633704277751319</v>
      </c>
      <c r="D91" s="140" t="str">
        <f>IF('Data Table Input'!A84="","",'Data Table Input'!D84)</f>
        <v>Closed</v>
      </c>
      <c r="E91" s="140">
        <f>IF('Data Table Input'!A84="","",'Data Table Input'!F84)</f>
        <v>0</v>
      </c>
      <c r="F91" s="140">
        <f>IF('Data Table Input'!A84="","",'Data Table Input'!G84)</f>
        <v>3.5833333333333335</v>
      </c>
    </row>
    <row r="92" spans="1:6">
      <c r="A92" s="139">
        <f>IF('Data Table Input'!A85="","",'Data Table Input'!A85)</f>
        <v>44</v>
      </c>
      <c r="B92" s="140">
        <f>IF('Data Table Input'!A85="","",'Data Table Input'!B85)</f>
        <v>2.438055980753882</v>
      </c>
      <c r="C92" s="140">
        <f>IF('Data Table Input'!A85="","",'Data Table Input'!C85)</f>
        <v>10.75664135933393</v>
      </c>
      <c r="D92" s="140" t="str">
        <f>IF('Data Table Input'!A85="","",'Data Table Input'!D85)</f>
        <v>Closed</v>
      </c>
      <c r="E92" s="140">
        <f>IF('Data Table Input'!A85="","",'Data Table Input'!F85)</f>
        <v>0</v>
      </c>
      <c r="F92" s="140">
        <f>IF('Data Table Input'!A85="","",'Data Table Input'!G85)</f>
        <v>3.6666666666666665</v>
      </c>
    </row>
    <row r="93" spans="1:6">
      <c r="A93" s="139">
        <f>IF('Data Table Input'!A86="","",'Data Table Input'!A86)</f>
        <v>45</v>
      </c>
      <c r="B93" s="140">
        <f>IF('Data Table Input'!A86="","",'Data Table Input'!B86)</f>
        <v>34.174839235948269</v>
      </c>
      <c r="C93" s="140">
        <f>IF('Data Table Input'!A86="","",'Data Table Input'!C86)</f>
        <v>10.878189187544038</v>
      </c>
      <c r="D93" s="140" t="str">
        <f>IF('Data Table Input'!A86="","",'Data Table Input'!D86)</f>
        <v>Open</v>
      </c>
      <c r="E93" s="140" t="str">
        <f>IF('Data Table Input'!A86="","",'Data Table Input'!F86)</f>
        <v>Fully Open</v>
      </c>
      <c r="F93" s="140">
        <f>IF('Data Table Input'!A86="","",'Data Table Input'!G86)</f>
        <v>3.75</v>
      </c>
    </row>
    <row r="94" spans="1:6">
      <c r="A94" s="139">
        <f>IF('Data Table Input'!A87="","",'Data Table Input'!A87)</f>
        <v>46</v>
      </c>
      <c r="B94" s="140">
        <f>IF('Data Table Input'!A87="","",'Data Table Input'!B87)</f>
        <v>34.552473232890883</v>
      </c>
      <c r="C94" s="140">
        <f>IF('Data Table Input'!A87="","",'Data Table Input'!C87)</f>
        <v>10.998393822129971</v>
      </c>
      <c r="D94" s="140" t="str">
        <f>IF('Data Table Input'!A87="","",'Data Table Input'!D87)</f>
        <v>Open</v>
      </c>
      <c r="E94" s="140" t="str">
        <f>IF('Data Table Input'!A87="","",'Data Table Input'!F87)</f>
        <v>Fully Open</v>
      </c>
      <c r="F94" s="140">
        <f>IF('Data Table Input'!A87="","",'Data Table Input'!G87)</f>
        <v>3.8333333333333335</v>
      </c>
    </row>
    <row r="95" spans="1:6">
      <c r="A95" s="139">
        <f>IF('Data Table Input'!A88="","",'Data Table Input'!A88)</f>
        <v>47</v>
      </c>
      <c r="B95" s="140">
        <f>IF('Data Table Input'!A88="","",'Data Table Input'!B88)</f>
        <v>34.926024340259112</v>
      </c>
      <c r="C95" s="140">
        <f>IF('Data Table Input'!A88="","",'Data Table Input'!C88)</f>
        <v>11.117298832600181</v>
      </c>
      <c r="D95" s="140" t="str">
        <f>IF('Data Table Input'!A88="","",'Data Table Input'!D88)</f>
        <v>Open</v>
      </c>
      <c r="E95" s="140" t="str">
        <f>IF('Data Table Input'!A88="","",'Data Table Input'!F88)</f>
        <v>Fully Open</v>
      </c>
      <c r="F95" s="140">
        <f>IF('Data Table Input'!A88="","",'Data Table Input'!G88)</f>
        <v>3.9166666666666665</v>
      </c>
    </row>
    <row r="96" spans="1:6">
      <c r="A96" s="139">
        <f>IF('Data Table Input'!A89="","",'Data Table Input'!A89)</f>
        <v>48</v>
      </c>
      <c r="B96" s="140">
        <f>IF('Data Table Input'!A89="","",'Data Table Input'!B89)</f>
        <v>35.295622192038259</v>
      </c>
      <c r="C96" s="140">
        <f>IF('Data Table Input'!A89="","",'Data Table Input'!C89)</f>
        <v>11.234945482733774</v>
      </c>
      <c r="D96" s="140" t="str">
        <f>IF('Data Table Input'!A89="","",'Data Table Input'!D89)</f>
        <v>Open</v>
      </c>
      <c r="E96" s="140" t="str">
        <f>IF('Data Table Input'!A89="","",'Data Table Input'!F89)</f>
        <v>Fully Open</v>
      </c>
      <c r="F96" s="140">
        <f>IF('Data Table Input'!A89="","",'Data Table Input'!G89)</f>
        <v>4</v>
      </c>
    </row>
    <row r="97" spans="1:6">
      <c r="A97" s="139">
        <f>IF('Data Table Input'!A90="","",'Data Table Input'!A90)</f>
        <v>49</v>
      </c>
      <c r="B97" s="140">
        <f>IF('Data Table Input'!A90="","",'Data Table Input'!B90)</f>
        <v>35.66138970413008</v>
      </c>
      <c r="C97" s="140">
        <f>IF('Data Table Input'!A90="","",'Data Table Input'!C90)</f>
        <v>11.35137289787745</v>
      </c>
      <c r="D97" s="140" t="str">
        <f>IF('Data Table Input'!A90="","",'Data Table Input'!D90)</f>
        <v>Open</v>
      </c>
      <c r="E97" s="140" t="str">
        <f>IF('Data Table Input'!A90="","",'Data Table Input'!F90)</f>
        <v>Fully Open</v>
      </c>
      <c r="F97" s="140">
        <f>IF('Data Table Input'!A90="","",'Data Table Input'!G90)</f>
        <v>4.083333333333333</v>
      </c>
    </row>
    <row r="98" spans="1:6">
      <c r="A98" s="139">
        <f>IF('Data Table Input'!A91="","",'Data Table Input'!A91)</f>
        <v>50</v>
      </c>
      <c r="B98" s="140">
        <f>IF('Data Table Input'!A91="","",'Data Table Input'!B91)</f>
        <v>36.023443551895006</v>
      </c>
      <c r="C98" s="140">
        <f>IF('Data Table Input'!A91="","",'Data Table Input'!C91)</f>
        <v>11.466618216951908</v>
      </c>
      <c r="D98" s="140" t="str">
        <f>IF('Data Table Input'!A91="","",'Data Table Input'!D91)</f>
        <v>Open</v>
      </c>
      <c r="E98" s="140" t="str">
        <f>IF('Data Table Input'!A91="","",'Data Table Input'!F91)</f>
        <v>Fully Open</v>
      </c>
      <c r="F98" s="140">
        <f>IF('Data Table Input'!A91="","",'Data Table Input'!G91)</f>
        <v>4.166666666666667</v>
      </c>
    </row>
    <row r="99" spans="1:6">
      <c r="A99" s="139">
        <f>IF('Data Table Input'!A92="","",'Data Table Input'!A92)</f>
        <v>51</v>
      </c>
      <c r="B99" s="140">
        <f>IF('Data Table Input'!A92="","",'Data Table Input'!B92)</f>
        <v>36.381894604917122</v>
      </c>
      <c r="C99" s="140">
        <f>IF('Data Table Input'!A92="","",'Data Table Input'!C92)</f>
        <v>11.580716730841838</v>
      </c>
      <c r="D99" s="140" t="str">
        <f>IF('Data Table Input'!A92="","",'Data Table Input'!D92)</f>
        <v>Open</v>
      </c>
      <c r="E99" s="140" t="str">
        <f>IF('Data Table Input'!A92="","",'Data Table Input'!F92)</f>
        <v>Fully Open</v>
      </c>
      <c r="F99" s="140">
        <f>IF('Data Table Input'!A92="","",'Data Table Input'!G92)</f>
        <v>4.25</v>
      </c>
    </row>
    <row r="100" spans="1:6">
      <c r="A100" s="139">
        <f>IF('Data Table Input'!A93="","",'Data Table Input'!A93)</f>
        <v>52</v>
      </c>
      <c r="B100" s="140">
        <f>IF('Data Table Input'!A93="","",'Data Table Input'!B93)</f>
        <v>36.736848323584155</v>
      </c>
      <c r="C100" s="140">
        <f>IF('Data Table Input'!A93="","",'Data Table Input'!C93)</f>
        <v>11.693702008631254</v>
      </c>
      <c r="D100" s="140" t="str">
        <f>IF('Data Table Input'!A93="","",'Data Table Input'!D93)</f>
        <v>Open</v>
      </c>
      <c r="E100" s="140" t="str">
        <f>IF('Data Table Input'!A93="","",'Data Table Input'!F93)</f>
        <v>Fully Open</v>
      </c>
      <c r="F100" s="140">
        <f>IF('Data Table Input'!A93="","",'Data Table Input'!G93)</f>
        <v>4.333333333333333</v>
      </c>
    </row>
    <row r="101" spans="1:6">
      <c r="A101" s="139">
        <f>IF('Data Table Input'!A94="","",'Data Table Input'!A94)</f>
        <v>53</v>
      </c>
      <c r="B101" s="140">
        <f>IF('Data Table Input'!A94="","",'Data Table Input'!B94)</f>
        <v>37.088405121503406</v>
      </c>
      <c r="C101" s="140">
        <f>IF('Data Table Input'!A94="","",'Data Table Input'!C94)</f>
        <v>11.805606012964068</v>
      </c>
      <c r="D101" s="140" t="str">
        <f>IF('Data Table Input'!A94="","",'Data Table Input'!D94)</f>
        <v>Open</v>
      </c>
      <c r="E101" s="140" t="str">
        <f>IF('Data Table Input'!A94="","",'Data Table Input'!F94)</f>
        <v>Fully Open</v>
      </c>
      <c r="F101" s="140">
        <f>IF('Data Table Input'!A94="","",'Data Table Input'!G94)</f>
        <v>4.416666666666667</v>
      </c>
    </row>
    <row r="102" spans="1:6">
      <c r="A102" s="139">
        <f>IF('Data Table Input'!A95="","",'Data Table Input'!A95)</f>
        <v>54</v>
      </c>
      <c r="B102" s="140">
        <f>IF('Data Table Input'!A95="","",'Data Table Input'!B95)</f>
        <v>37.436660697282967</v>
      </c>
      <c r="C102" s="140">
        <f>IF('Data Table Input'!A95="","",'Data Table Input'!C95)</f>
        <v>11.91645920565333</v>
      </c>
      <c r="D102" s="140" t="str">
        <f>IF('Data Table Input'!A95="","",'Data Table Input'!D95)</f>
        <v>Open</v>
      </c>
      <c r="E102" s="140" t="str">
        <f>IF('Data Table Input'!A95="","",'Data Table Input'!F95)</f>
        <v>Fully Open</v>
      </c>
      <c r="F102" s="140">
        <f>IF('Data Table Input'!A95="","",'Data Table Input'!G95)</f>
        <v>4.5</v>
      </c>
    </row>
    <row r="103" spans="1:6">
      <c r="A103" s="139">
        <f>IF('Data Table Input'!A96="","",'Data Table Input'!A96)</f>
        <v>55</v>
      </c>
      <c r="B103" s="140">
        <f>IF('Data Table Input'!A96="","",'Data Table Input'!B96)</f>
        <v>37.781706338785476</v>
      </c>
      <c r="C103" s="140">
        <f>IF('Data Table Input'!A96="","",'Data Table Input'!C96)</f>
        <v>12.026290644528208</v>
      </c>
      <c r="D103" s="140" t="str">
        <f>IF('Data Table Input'!A96="","",'Data Table Input'!D96)</f>
        <v>Open</v>
      </c>
      <c r="E103" s="140" t="str">
        <f>IF('Data Table Input'!A96="","",'Data Table Input'!F96)</f>
        <v>Fully Open</v>
      </c>
      <c r="F103" s="140">
        <f>IF('Data Table Input'!A96="","",'Data Table Input'!G96)</f>
        <v>4.583333333333333</v>
      </c>
    </row>
    <row r="104" spans="1:6">
      <c r="A104" s="139">
        <f>IF('Data Table Input'!A97="","",'Data Table Input'!A97)</f>
        <v>56</v>
      </c>
      <c r="B104" s="140">
        <f>IF('Data Table Input'!A97="","",'Data Table Input'!B97)</f>
        <v>38.123629202594991</v>
      </c>
      <c r="C104" s="140">
        <f>IF('Data Table Input'!A97="","",'Data Table Input'!C97)</f>
        <v>12.13512807239105</v>
      </c>
      <c r="D104" s="140" t="str">
        <f>IF('Data Table Input'!A97="","",'Data Table Input'!D97)</f>
        <v>Open</v>
      </c>
      <c r="E104" s="140" t="str">
        <f>IF('Data Table Input'!A97="","",'Data Table Input'!F97)</f>
        <v>Fully Open</v>
      </c>
      <c r="F104" s="140">
        <f>IF('Data Table Input'!A97="","",'Data Table Input'!G97)</f>
        <v>4.666666666666667</v>
      </c>
    </row>
    <row r="105" spans="1:6">
      <c r="A105" s="139">
        <f>IF('Data Table Input'!A98="","",'Data Table Input'!A98)</f>
        <v>57</v>
      </c>
      <c r="B105" s="140">
        <f>IF('Data Table Input'!A98="","",'Data Table Input'!B98)</f>
        <v>38.462512571121572</v>
      </c>
      <c r="C105" s="140">
        <f>IF('Data Table Input'!A98="","",'Data Table Input'!C98)</f>
        <v>12.242997998856326</v>
      </c>
      <c r="D105" s="140" t="str">
        <f>IF('Data Table Input'!A98="","",'Data Table Input'!D98)</f>
        <v>Open</v>
      </c>
      <c r="E105" s="140" t="str">
        <f>IF('Data Table Input'!A98="","",'Data Table Input'!F98)</f>
        <v>Fully Open</v>
      </c>
      <c r="F105" s="140">
        <f>IF('Data Table Input'!A98="","",'Data Table Input'!G98)</f>
        <v>4.75</v>
      </c>
    </row>
    <row r="106" spans="1:6">
      <c r="A106" s="139">
        <f>IF('Data Table Input'!A99="","",'Data Table Input'!A99)</f>
        <v>58</v>
      </c>
      <c r="B106" s="140">
        <f>IF('Data Table Input'!A99="","",'Data Table Input'!B99)</f>
        <v>38.79843608949227</v>
      </c>
      <c r="C106" s="140">
        <f>IF('Data Table Input'!A99="","",'Data Table Input'!C99)</f>
        <v>12.349925775755361</v>
      </c>
      <c r="D106" s="140" t="str">
        <f>IF('Data Table Input'!A99="","",'Data Table Input'!D99)</f>
        <v>Open</v>
      </c>
      <c r="E106" s="140" t="str">
        <f>IF('Data Table Input'!A99="","",'Data Table Input'!F99)</f>
        <v>Fully Open</v>
      </c>
      <c r="F106" s="140">
        <f>IF('Data Table Input'!A99="","",'Data Table Input'!G99)</f>
        <v>4.833333333333333</v>
      </c>
    </row>
    <row r="107" spans="1:6">
      <c r="A107" s="139">
        <f>IF('Data Table Input'!A100="","",'Data Table Input'!A100)</f>
        <v>59</v>
      </c>
      <c r="B107" s="140">
        <f>IF('Data Table Input'!A100="","",'Data Table Input'!B100)</f>
        <v>39.131475984137722</v>
      </c>
      <c r="C107" s="140">
        <f>IF('Data Table Input'!A100="","",'Data Table Input'!C100)</f>
        <v>12.455935666714616</v>
      </c>
      <c r="D107" s="140" t="str">
        <f>IF('Data Table Input'!A100="","",'Data Table Input'!D100)</f>
        <v>Open</v>
      </c>
      <c r="E107" s="140" t="str">
        <f>IF('Data Table Input'!A100="","",'Data Table Input'!F100)</f>
        <v>Fully Open</v>
      </c>
      <c r="F107" s="140">
        <f>IF('Data Table Input'!A100="","",'Data Table Input'!G100)</f>
        <v>4.916666666666667</v>
      </c>
    </row>
    <row r="108" spans="1:6">
      <c r="A108" s="139">
        <f>IF('Data Table Input'!A101="","",'Data Table Input'!A101)</f>
        <v>60</v>
      </c>
      <c r="B108" s="140">
        <f>IF('Data Table Input'!A101="","",'Data Table Input'!B101)</f>
        <v>39.461705264773833</v>
      </c>
      <c r="C108" s="140">
        <f>IF('Data Table Input'!A101="","",'Data Table Input'!C101)</f>
        <v>12.561050911448453</v>
      </c>
      <c r="D108" s="140" t="str">
        <f>IF('Data Table Input'!A101="","",'Data Table Input'!D101)</f>
        <v>Open</v>
      </c>
      <c r="E108" s="140" t="str">
        <f>IF('Data Table Input'!A101="","",'Data Table Input'!F101)</f>
        <v>Fully Open</v>
      </c>
      <c r="F108" s="140">
        <f>IF('Data Table Input'!A101="","",'Data Table Input'!G101)</f>
        <v>5</v>
      </c>
    </row>
    <row r="109" spans="1:6">
      <c r="A109" s="139">
        <f>IF('Data Table Input'!A102="","",'Data Table Input'!A102)</f>
        <v>61</v>
      </c>
      <c r="B109" s="140">
        <f>IF('Data Table Input'!A102="","",'Data Table Input'!B102)</f>
        <v>39.789193911294689</v>
      </c>
      <c r="C109" s="140">
        <f>IF('Data Table Input'!A102="","",'Data Table Input'!C102)</f>
        <v>12.66529378524899</v>
      </c>
      <c r="D109" s="140" t="str">
        <f>IF('Data Table Input'!A102="","",'Data Table Input'!D102)</f>
        <v>Open</v>
      </c>
      <c r="E109" s="140" t="str">
        <f>IF('Data Table Input'!A102="","",'Data Table Input'!F102)</f>
        <v>Fully Open</v>
      </c>
      <c r="F109" s="140">
        <f>IF('Data Table Input'!A102="","",'Data Table Input'!G102)</f>
        <v>5.083333333333333</v>
      </c>
    </row>
    <row r="110" spans="1:6">
      <c r="A110" s="139">
        <f>IF('Data Table Input'!A103="","",'Data Table Input'!A103)</f>
        <v>62</v>
      </c>
      <c r="B110" s="140">
        <f>IF('Data Table Input'!A103="","",'Data Table Input'!B103)</f>
        <v>40.11400904693199</v>
      </c>
      <c r="C110" s="140">
        <f>IF('Data Table Input'!A103="","",'Data Table Input'!C103)</f>
        <v>12.768685654104472</v>
      </c>
      <c r="D110" s="140" t="str">
        <f>IF('Data Table Input'!A103="","",'Data Table Input'!D103)</f>
        <v>Open</v>
      </c>
      <c r="E110" s="140" t="str">
        <f>IF('Data Table Input'!A103="","",'Data Table Input'!F103)</f>
        <v>Fully Open</v>
      </c>
      <c r="F110" s="140">
        <f>IF('Data Table Input'!A103="","",'Data Table Input'!G103)</f>
        <v>5.166666666666667</v>
      </c>
    </row>
    <row r="111" spans="1:6">
      <c r="A111" s="139">
        <f>IF('Data Table Input'!A104="","",'Data Table Input'!A104)</f>
        <v>63</v>
      </c>
      <c r="B111" s="140">
        <f>IF('Data Table Input'!A104="","",'Data Table Input'!B104)</f>
        <v>40.436215098894621</v>
      </c>
      <c r="C111" s="140">
        <f>IF('Data Table Input'!A104="","",'Data Table Input'!C104)</f>
        <v>12.871247025832425</v>
      </c>
      <c r="D111" s="140" t="str">
        <f>IF('Data Table Input'!A104="","",'Data Table Input'!D104)</f>
        <v>Open</v>
      </c>
      <c r="E111" s="140" t="str">
        <f>IF('Data Table Input'!A104="","",'Data Table Input'!F104)</f>
        <v>Fully Open</v>
      </c>
      <c r="F111" s="140">
        <f>IF('Data Table Input'!A104="","",'Data Table Input'!G104)</f>
        <v>5.25</v>
      </c>
    </row>
    <row r="112" spans="1:6">
      <c r="A112" s="139">
        <f>IF('Data Table Input'!A105="","",'Data Table Input'!A105)</f>
        <v>64</v>
      </c>
      <c r="B112" s="140">
        <f>IF('Data Table Input'!A105="","",'Data Table Input'!B105)</f>
        <v>40.755873947577228</v>
      </c>
      <c r="C112" s="140">
        <f>IF('Data Table Input'!A105="","",'Data Table Input'!C105)</f>
        <v>12.972997597574228</v>
      </c>
      <c r="D112" s="140" t="str">
        <f>IF('Data Table Input'!A105="","",'Data Table Input'!D105)</f>
        <v>Open</v>
      </c>
      <c r="E112" s="140" t="str">
        <f>IF('Data Table Input'!A105="","",'Data Table Input'!F105)</f>
        <v>Fully Open</v>
      </c>
      <c r="F112" s="140">
        <f>IF('Data Table Input'!A105="","",'Data Table Input'!G105)</f>
        <v>5.333333333333333</v>
      </c>
    </row>
    <row r="113" spans="1:6">
      <c r="A113" s="139">
        <f>IF('Data Table Input'!A106="","",'Data Table Input'!A106)</f>
        <v>65</v>
      </c>
      <c r="B113" s="140">
        <f>IF('Data Table Input'!A106="","",'Data Table Input'!B106)</f>
        <v>41.073045065316691</v>
      </c>
      <c r="C113" s="140">
        <f>IF('Data Table Input'!A106="","",'Data Table Input'!C106)</f>
        <v>13.073956299962662</v>
      </c>
      <c r="D113" s="140" t="str">
        <f>IF('Data Table Input'!A106="","",'Data Table Input'!D106)</f>
        <v>Open</v>
      </c>
      <c r="E113" s="140" t="str">
        <f>IF('Data Table Input'!A106="","",'Data Table Input'!F106)</f>
        <v>Fully Open</v>
      </c>
      <c r="F113" s="140">
        <f>IF('Data Table Input'!A106="","",'Data Table Input'!G106)</f>
        <v>5.416666666666667</v>
      </c>
    </row>
    <row r="114" spans="1:6">
      <c r="A114" s="139">
        <f>IF('Data Table Input'!A107="","",'Data Table Input'!A107)</f>
        <v>66</v>
      </c>
      <c r="B114" s="140">
        <f>IF('Data Table Input'!A107="","",'Data Table Input'!B107)</f>
        <v>41.387785645577452</v>
      </c>
      <c r="C114" s="140">
        <f>IF('Data Table Input'!A107="","",'Data Table Input'!C107)</f>
        <v>13.174141338242885</v>
      </c>
      <c r="D114" s="140" t="str">
        <f>IF('Data Table Input'!A107="","",'Data Table Input'!D107)</f>
        <v>Open</v>
      </c>
      <c r="E114" s="140" t="str">
        <f>IF('Data Table Input'!A107="","",'Data Table Input'!F107)</f>
        <v>Fully Open</v>
      </c>
      <c r="F114" s="140">
        <f>IF('Data Table Input'!A107="","",'Data Table Input'!G107)</f>
        <v>5.5</v>
      </c>
    </row>
    <row r="115" spans="1:6">
      <c r="A115" s="139">
        <f>IF('Data Table Input'!A108="","",'Data Table Input'!A108)</f>
        <v>67</v>
      </c>
      <c r="B115" s="140">
        <f>IF('Data Table Input'!A108="","",'Data Table Input'!B108)</f>
        <v>41.700150723360679</v>
      </c>
      <c r="C115" s="140">
        <f>IF('Data Table Input'!A108="","",'Data Table Input'!C108)</f>
        <v>13.273570230599855</v>
      </c>
      <c r="D115" s="140" t="str">
        <f>IF('Data Table Input'!A108="","",'Data Table Input'!D108)</f>
        <v>Open</v>
      </c>
      <c r="E115" s="140" t="str">
        <f>IF('Data Table Input'!A108="","",'Data Table Input'!F108)</f>
        <v>Fully Open</v>
      </c>
      <c r="F115" s="140">
        <f>IF('Data Table Input'!A108="","",'Data Table Input'!G108)</f>
        <v>5.583333333333333</v>
      </c>
    </row>
    <row r="116" spans="1:6">
      <c r="A116" s="139">
        <f>IF('Data Table Input'!A109="","",'Data Table Input'!A109)</f>
        <v>68</v>
      </c>
      <c r="B116" s="140">
        <f>IF('Data Table Input'!A109="","",'Data Table Input'!B109)</f>
        <v>42.010193287554983</v>
      </c>
      <c r="C116" s="140">
        <f>IF('Data Table Input'!A109="","",'Data Table Input'!C109)</f>
        <v>13.372259843920673</v>
      </c>
      <c r="D116" s="140" t="str">
        <f>IF('Data Table Input'!A109="","",'Data Table Input'!D109)</f>
        <v>Open</v>
      </c>
      <c r="E116" s="140" t="str">
        <f>IF('Data Table Input'!A109="","",'Data Table Input'!F109)</f>
        <v>Fully Open</v>
      </c>
      <c r="F116" s="140">
        <f>IF('Data Table Input'!A109="","",'Data Table Input'!G109)</f>
        <v>5.666666666666667</v>
      </c>
    </row>
    <row r="117" spans="1:6">
      <c r="A117" s="139">
        <f>IF('Data Table Input'!A110="","",'Data Table Input'!A110)</f>
        <v>69</v>
      </c>
      <c r="B117" s="140">
        <f>IF('Data Table Input'!A110="","",'Data Table Input'!B110)</f>
        <v>42.317964385878255</v>
      </c>
      <c r="C117" s="140">
        <f>IF('Data Table Input'!A110="","",'Data Table Input'!C110)</f>
        <v>13.470226427198615</v>
      </c>
      <c r="D117" s="140" t="str">
        <f>IF('Data Table Input'!A110="","",'Data Table Input'!D110)</f>
        <v>Open</v>
      </c>
      <c r="E117" s="140" t="str">
        <f>IF('Data Table Input'!A110="","",'Data Table Input'!F110)</f>
        <v>Fully Open</v>
      </c>
      <c r="F117" s="140">
        <f>IF('Data Table Input'!A110="","",'Data Table Input'!G110)</f>
        <v>5.75</v>
      </c>
    </row>
    <row r="118" spans="1:6">
      <c r="A118" s="139">
        <f>IF('Data Table Input'!A111="","",'Data Table Input'!A111)</f>
        <v>70</v>
      </c>
      <c r="B118" s="140">
        <f>IF('Data Table Input'!A111="","",'Data Table Input'!B111)</f>
        <v>42.62351322299925</v>
      </c>
      <c r="C118" s="140">
        <f>IF('Data Table Input'!A111="","",'Data Table Input'!C111)</f>
        <v>13.567485642766188</v>
      </c>
      <c r="D118" s="140" t="str">
        <f>IF('Data Table Input'!A111="","",'Data Table Input'!D111)</f>
        <v>Open</v>
      </c>
      <c r="E118" s="140" t="str">
        <f>IF('Data Table Input'!A111="","",'Data Table Input'!F111)</f>
        <v>Fully Open</v>
      </c>
      <c r="F118" s="140">
        <f>IF('Data Table Input'!A111="","",'Data Table Input'!G111)</f>
        <v>5.833333333333333</v>
      </c>
    </row>
    <row r="119" spans="1:6">
      <c r="A119" s="139">
        <f>IF('Data Table Input'!A112="","",'Data Table Input'!A112)</f>
        <v>71</v>
      </c>
      <c r="B119" s="140">
        <f>IF('Data Table Input'!A112="","",'Data Table Input'!B112)</f>
        <v>42.926887252372765</v>
      </c>
      <c r="C119" s="140">
        <f>IF('Data Table Input'!A112="","",'Data Table Input'!C112)</f>
        <v>13.66405259552719</v>
      </c>
      <c r="D119" s="140" t="str">
        <f>IF('Data Table Input'!A112="","",'Data Table Input'!D112)</f>
        <v>Open</v>
      </c>
      <c r="E119" s="140" t="str">
        <f>IF('Data Table Input'!A112="","",'Data Table Input'!F112)</f>
        <v>Fully Open</v>
      </c>
      <c r="F119" s="140">
        <f>IF('Data Table Input'!A112="","",'Data Table Input'!G112)</f>
        <v>5.916666666666667</v>
      </c>
    </row>
    <row r="120" spans="1:6">
      <c r="A120" s="139">
        <f>IF('Data Table Input'!A113="","",'Data Table Input'!A113)</f>
        <v>72</v>
      </c>
      <c r="B120" s="140">
        <f>IF('Data Table Input'!A113="","",'Data Table Input'!B113)</f>
        <v>43.228132262274002</v>
      </c>
      <c r="C120" s="140">
        <f>IF('Data Table Input'!A113="","",'Data Table Input'!C113)</f>
        <v>13.759941860342288</v>
      </c>
      <c r="D120" s="140" t="str">
        <f>IF('Data Table Input'!A113="","",'Data Table Input'!D113)</f>
        <v>Open</v>
      </c>
      <c r="E120" s="140" t="str">
        <f>IF('Data Table Input'!A113="","",'Data Table Input'!F113)</f>
        <v>Fully Open</v>
      </c>
      <c r="F120" s="140">
        <f>IF('Data Table Input'!A113="","",'Data Table Input'!G113)</f>
        <v>6</v>
      </c>
    </row>
    <row r="121" spans="1:6">
      <c r="A121" s="139">
        <f>IF('Data Table Input'!A114="","",'Data Table Input'!A114)</f>
        <v>73</v>
      </c>
      <c r="B121" s="140">
        <f>IF('Data Table Input'!A114="","",'Data Table Input'!B114)</f>
        <v>43.527292456473631</v>
      </c>
      <c r="C121" s="140">
        <f>IF('Data Table Input'!A114="","",'Data Table Input'!C114)</f>
        <v>13.855167507708693</v>
      </c>
      <c r="D121" s="140" t="str">
        <f>IF('Data Table Input'!A114="","",'Data Table Input'!D114)</f>
        <v>Open</v>
      </c>
      <c r="E121" s="140" t="str">
        <f>IF('Data Table Input'!A114="","",'Data Table Input'!F114)</f>
        <v>Fully Open</v>
      </c>
      <c r="F121" s="140">
        <f>IF('Data Table Input'!A114="","",'Data Table Input'!G114)</f>
        <v>6.083333333333333</v>
      </c>
    </row>
    <row r="122" spans="1:6">
      <c r="A122" s="139">
        <f>IF('Data Table Input'!A115="","",'Data Table Input'!A115)</f>
        <v>74</v>
      </c>
      <c r="B122" s="140">
        <f>IF('Data Table Input'!A115="","",'Data Table Input'!B115)</f>
        <v>43.824410529955991</v>
      </c>
      <c r="C122" s="140">
        <f>IF('Data Table Input'!A115="","",'Data Table Input'!C115)</f>
        <v>13.949743127862009</v>
      </c>
      <c r="D122" s="140" t="str">
        <f>IF('Data Table Input'!A115="","",'Data Table Input'!D115)</f>
        <v>Open</v>
      </c>
      <c r="E122" s="140" t="str">
        <f>IF('Data Table Input'!A115="","",'Data Table Input'!F115)</f>
        <v>Fully Open</v>
      </c>
      <c r="F122" s="140">
        <f>IF('Data Table Input'!A115="","",'Data Table Input'!G115)</f>
        <v>6.166666666666667</v>
      </c>
    </row>
    <row r="123" spans="1:6">
      <c r="A123" s="139">
        <f>IF('Data Table Input'!A116="","",'Data Table Input'!A116)</f>
        <v>75</v>
      </c>
      <c r="B123" s="140">
        <f>IF('Data Table Input'!A116="","",'Data Table Input'!B116)</f>
        <v>44.119527740047822</v>
      </c>
      <c r="C123" s="140">
        <f>IF('Data Table Input'!A116="","",'Data Table Input'!C116)</f>
        <v>14.043681853417217</v>
      </c>
      <c r="D123" s="140" t="str">
        <f>IF('Data Table Input'!A116="","",'Data Table Input'!D116)</f>
        <v>Open</v>
      </c>
      <c r="E123" s="140" t="str">
        <f>IF('Data Table Input'!A116="","",'Data Table Input'!F116)</f>
        <v>Fully Open</v>
      </c>
      <c r="F123" s="140">
        <f>IF('Data Table Input'!A116="","",'Data Table Input'!G116)</f>
        <v>6.25</v>
      </c>
    </row>
    <row r="124" spans="1:6">
      <c r="A124" s="139">
        <f>IF('Data Table Input'!A117="","",'Data Table Input'!A117)</f>
        <v>76</v>
      </c>
      <c r="B124" s="140">
        <f>IF('Data Table Input'!A117="","",'Data Table Input'!B117)</f>
        <v>44.412683973292808</v>
      </c>
      <c r="C124" s="140">
        <f>IF('Data Table Input'!A117="","",'Data Table Input'!C117)</f>
        <v>14.136996380655498</v>
      </c>
      <c r="D124" s="140" t="str">
        <f>IF('Data Table Input'!A117="","",'Data Table Input'!D117)</f>
        <v>Open</v>
      </c>
      <c r="E124" s="140" t="str">
        <f>IF('Data Table Input'!A117="","",'Data Table Input'!F117)</f>
        <v>Fully Open</v>
      </c>
      <c r="F124" s="140">
        <f>IF('Data Table Input'!A117="","",'Data Table Input'!G117)</f>
        <v>6.333333333333333</v>
      </c>
    </row>
    <row r="125" spans="1:6">
      <c r="A125" s="139">
        <f>IF('Data Table Input'!A118="","",'Data Table Input'!A118)</f>
        <v>77</v>
      </c>
      <c r="B125" s="140">
        <f>IF('Data Table Input'!A118="","",'Data Table Input'!B118)</f>
        <v>44.703917808379067</v>
      </c>
      <c r="C125" s="140">
        <f>IF('Data Table Input'!A118="","",'Data Table Input'!C118)</f>
        <v>14.229698989554674</v>
      </c>
      <c r="D125" s="140" t="str">
        <f>IF('Data Table Input'!A118="","",'Data Table Input'!D118)</f>
        <v>Open</v>
      </c>
      <c r="E125" s="140" t="str">
        <f>IF('Data Table Input'!A118="","",'Data Table Input'!F118)</f>
        <v>Fully Open</v>
      </c>
      <c r="F125" s="140">
        <f>IF('Data Table Input'!A118="","",'Data Table Input'!G118)</f>
        <v>6.416666666666667</v>
      </c>
    </row>
    <row r="126" spans="1:6">
      <c r="A126" s="139">
        <f>IF('Data Table Input'!A119="","",'Data Table Input'!A119)</f>
        <v>78</v>
      </c>
      <c r="B126" s="140">
        <f>IF('Data Table Input'!A119="","",'Data Table Input'!B119)</f>
        <v>44.993266575400405</v>
      </c>
      <c r="C126" s="140">
        <f>IF('Data Table Input'!A119="","",'Data Table Input'!C119)</f>
        <v>14.321801562652656</v>
      </c>
      <c r="D126" s="140" t="str">
        <f>IF('Data Table Input'!A119="","",'Data Table Input'!D119)</f>
        <v>Open</v>
      </c>
      <c r="E126" s="140" t="str">
        <f>IF('Data Table Input'!A119="","",'Data Table Input'!F119)</f>
        <v>Fully Open</v>
      </c>
      <c r="F126" s="140">
        <f>IF('Data Table Input'!A119="","",'Data Table Input'!G119)</f>
        <v>6.5</v>
      </c>
    </row>
    <row r="127" spans="1:6">
      <c r="A127" s="139">
        <f>IF('Data Table Input'!A120="","",'Data Table Input'!A120)</f>
        <v>79</v>
      </c>
      <c r="B127" s="140">
        <f>IF('Data Table Input'!A120="","",'Data Table Input'!B120)</f>
        <v>45.280766411709223</v>
      </c>
      <c r="C127" s="140">
        <f>IF('Data Table Input'!A120="","",'Data Table Input'!C120)</f>
        <v>14.413315602825975</v>
      </c>
      <c r="D127" s="140" t="str">
        <f>IF('Data Table Input'!A120="","",'Data Table Input'!D120)</f>
        <v>Open</v>
      </c>
      <c r="E127" s="140" t="str">
        <f>IF('Data Table Input'!A120="","",'Data Table Input'!F120)</f>
        <v>Fully Open</v>
      </c>
      <c r="F127" s="140">
        <f>IF('Data Table Input'!A120="","",'Data Table Input'!G120)</f>
        <v>6.583333333333333</v>
      </c>
    </row>
    <row r="128" spans="1:6">
      <c r="A128" s="139">
        <f>IF('Data Table Input'!A121="","",'Data Table Input'!A121)</f>
        <v>80</v>
      </c>
      <c r="B128" s="140">
        <f>IF('Data Table Input'!A121="","",'Data Table Input'!B121)</f>
        <v>45.56645231459769</v>
      </c>
      <c r="C128" s="140">
        <f>IF('Data Table Input'!A121="","",'Data Table Input'!C121)</f>
        <v>14.504252250058716</v>
      </c>
      <c r="D128" s="140" t="str">
        <f>IF('Data Table Input'!A121="","",'Data Table Input'!D121)</f>
        <v>Open</v>
      </c>
      <c r="E128" s="140" t="str">
        <f>IF('Data Table Input'!A121="","",'Data Table Input'!F121)</f>
        <v>Fully Open</v>
      </c>
      <c r="F128" s="140">
        <f>IF('Data Table Input'!A121="","",'Data Table Input'!G121)</f>
        <v>6.666666666666667</v>
      </c>
    </row>
    <row r="129" spans="1:6">
      <c r="A129" s="139">
        <f>IF('Data Table Input'!A122="","",'Data Table Input'!A122)</f>
        <v>81</v>
      </c>
      <c r="B129" s="140">
        <f>IF('Data Table Input'!A122="","",'Data Table Input'!B122)</f>
        <v>45.850358191024384</v>
      </c>
      <c r="C129" s="140">
        <f>IF('Data Table Input'!A122="","",'Data Table Input'!C122)</f>
        <v>14.594622297271007</v>
      </c>
      <c r="D129" s="140" t="str">
        <f>IF('Data Table Input'!A122="","",'Data Table Input'!D122)</f>
        <v>Open</v>
      </c>
      <c r="E129" s="140" t="str">
        <f>IF('Data Table Input'!A122="","",'Data Table Input'!F122)</f>
        <v>Fully Open</v>
      </c>
      <c r="F129" s="140">
        <f>IF('Data Table Input'!A122="","",'Data Table Input'!G122)</f>
        <v>6.75</v>
      </c>
    </row>
    <row r="130" spans="1:6">
      <c r="A130" s="139">
        <f>IF('Data Table Input'!A123="","",'Data Table Input'!A123)</f>
        <v>82</v>
      </c>
      <c r="B130" s="140">
        <f>IF('Data Table Input'!A123="","",'Data Table Input'!B123)</f>
        <v>46.132516904586595</v>
      </c>
      <c r="C130" s="140">
        <f>IF('Data Table Input'!A123="","",'Data Table Input'!C123)</f>
        <v>14.684436205270758</v>
      </c>
      <c r="D130" s="140" t="str">
        <f>IF('Data Table Input'!A123="","",'Data Table Input'!D123)</f>
        <v>Open</v>
      </c>
      <c r="E130" s="140" t="str">
        <f>IF('Data Table Input'!A123="","",'Data Table Input'!F123)</f>
        <v>Fully Open</v>
      </c>
      <c r="F130" s="140">
        <f>IF('Data Table Input'!A123="","",'Data Table Input'!G123)</f>
        <v>6.833333333333333</v>
      </c>
    </row>
    <row r="131" spans="1:6">
      <c r="A131" s="139">
        <f>IF('Data Table Input'!A124="","",'Data Table Input'!A124)</f>
        <v>83</v>
      </c>
      <c r="B131" s="140">
        <f>IF('Data Table Input'!A124="","",'Data Table Input'!B124)</f>
        <v>46.41296031992249</v>
      </c>
      <c r="C131" s="140">
        <f>IF('Data Table Input'!A124="","",'Data Table Input'!C124)</f>
        <v>14.773704116887322</v>
      </c>
      <c r="D131" s="140" t="str">
        <f>IF('Data Table Input'!A124="","",'Data Table Input'!D124)</f>
        <v>Open</v>
      </c>
      <c r="E131" s="140" t="str">
        <f>IF('Data Table Input'!A124="","",'Data Table Input'!F124)</f>
        <v>Fully Open</v>
      </c>
      <c r="F131" s="140">
        <f>IF('Data Table Input'!A124="","",'Data Table Input'!G124)</f>
        <v>6.916666666666667</v>
      </c>
    </row>
    <row r="132" spans="1:6">
      <c r="A132" s="139">
        <f>IF('Data Table Input'!A125="","",'Data Table Input'!A125)</f>
        <v>84</v>
      </c>
      <c r="B132" s="140">
        <f>IF('Data Table Input'!A125="","",'Data Table Input'!B125)</f>
        <v>46.691719344712837</v>
      </c>
      <c r="C132" s="140">
        <f>IF('Data Table Input'!A125="","",'Data Table Input'!C125)</f>
        <v>14.862435870341042</v>
      </c>
      <c r="D132" s="140" t="str">
        <f>IF('Data Table Input'!A125="","",'Data Table Input'!D125)</f>
        <v>Open</v>
      </c>
      <c r="E132" s="140" t="str">
        <f>IF('Data Table Input'!A125="","",'Data Table Input'!F125)</f>
        <v>Fully Open</v>
      </c>
      <c r="F132" s="140">
        <f>IF('Data Table Input'!A125="","",'Data Table Input'!G125)</f>
        <v>7</v>
      </c>
    </row>
    <row r="133" spans="1:6">
      <c r="A133" s="139">
        <f>IF('Data Table Input'!A126="","",'Data Table Input'!A126)</f>
        <v>85</v>
      </c>
      <c r="B133" s="140">
        <f>IF('Data Table Input'!A126="","",'Data Table Input'!B126)</f>
        <v>46.96882396943915</v>
      </c>
      <c r="C133" s="140">
        <f>IF('Data Table Input'!A126="","",'Data Table Input'!C126)</f>
        <v>14.950641011898675</v>
      </c>
      <c r="D133" s="140" t="str">
        <f>IF('Data Table Input'!A126="","",'Data Table Input'!D126)</f>
        <v>Open</v>
      </c>
      <c r="E133" s="140" t="str">
        <f>IF('Data Table Input'!A126="","",'Data Table Input'!F126)</f>
        <v>Fully Open</v>
      </c>
      <c r="F133" s="140">
        <f>IF('Data Table Input'!A126="","",'Data Table Input'!G126)</f>
        <v>7.083333333333333</v>
      </c>
    </row>
    <row r="134" spans="1:6">
      <c r="A134" s="139">
        <f>IF('Data Table Input'!A127="","",'Data Table Input'!A127)</f>
        <v>86</v>
      </c>
      <c r="B134" s="140">
        <f>IF('Data Table Input'!A127="","",'Data Table Input'!B127)</f>
        <v>47.244303305042962</v>
      </c>
      <c r="C134" s="140">
        <f>IF('Data Table Input'!A127="","",'Data Table Input'!C127)</f>
        <v>15.038328807860712</v>
      </c>
      <c r="D134" s="140" t="str">
        <f>IF('Data Table Input'!A127="","",'Data Table Input'!D127)</f>
        <v>Open</v>
      </c>
      <c r="E134" s="140" t="str">
        <f>IF('Data Table Input'!A127="","",'Data Table Input'!F127)</f>
        <v>Fully Open</v>
      </c>
      <c r="F134" s="140">
        <f>IF('Data Table Input'!A127="","",'Data Table Input'!G127)</f>
        <v>7.166666666666667</v>
      </c>
    </row>
    <row r="135" spans="1:6">
      <c r="A135" s="139">
        <f>IF('Data Table Input'!A128="","",'Data Table Input'!A128)</f>
        <v>87</v>
      </c>
      <c r="B135" s="140">
        <f>IF('Data Table Input'!A128="","",'Data Table Input'!B128)</f>
        <v>47.518185618620002</v>
      </c>
      <c r="C135" s="140">
        <f>IF('Data Table Input'!A128="","",'Data Table Input'!C128)</f>
        <v>15.125508255923172</v>
      </c>
      <c r="D135" s="140" t="str">
        <f>IF('Data Table Input'!A128="","",'Data Table Input'!D128)</f>
        <v>Open</v>
      </c>
      <c r="E135" s="140" t="str">
        <f>IF('Data Table Input'!A128="","",'Data Table Input'!F128)</f>
        <v>Fully Open</v>
      </c>
      <c r="F135" s="140">
        <f>IF('Data Table Input'!A128="","",'Data Table Input'!G128)</f>
        <v>7.25</v>
      </c>
    </row>
    <row r="136" spans="1:6">
      <c r="A136" s="139">
        <f>IF('Data Table Input'!A129="","",'Data Table Input'!A129)</f>
        <v>88</v>
      </c>
      <c r="B136" s="140">
        <f>IF('Data Table Input'!A129="","",'Data Table Input'!B129)</f>
        <v>47.790498367273344</v>
      </c>
      <c r="C136" s="140">
        <f>IF('Data Table Input'!A129="","",'Data Table Input'!C129)</f>
        <v>15.212188095953412</v>
      </c>
      <c r="D136" s="140" t="str">
        <f>IF('Data Table Input'!A129="","",'Data Table Input'!D129)</f>
        <v>Open</v>
      </c>
      <c r="E136" s="140" t="str">
        <f>IF('Data Table Input'!A129="","",'Data Table Input'!F129)</f>
        <v>Fully Open</v>
      </c>
      <c r="F136" s="140">
        <f>IF('Data Table Input'!A129="","",'Data Table Input'!G129)</f>
        <v>7.333333333333333</v>
      </c>
    </row>
    <row r="137" spans="1:6">
      <c r="A137" s="139">
        <f>IF('Data Table Input'!A130="","",'Data Table Input'!A130)</f>
        <v>89</v>
      </c>
      <c r="B137" s="140">
        <f>IF('Data Table Input'!A130="","",'Data Table Input'!B130)</f>
        <v>48.06126823024011</v>
      </c>
      <c r="C137" s="140">
        <f>IF('Data Table Input'!A130="","",'Data Table Input'!C130)</f>
        <v>15.298376820216365</v>
      </c>
      <c r="D137" s="140" t="str">
        <f>IF('Data Table Input'!A130="","",'Data Table Input'!D130)</f>
        <v>Open</v>
      </c>
      <c r="E137" s="140" t="str">
        <f>IF('Data Table Input'!A130="","",'Data Table Input'!F130)</f>
        <v>Fully Open</v>
      </c>
      <c r="F137" s="140">
        <f>IF('Data Table Input'!A130="","",'Data Table Input'!G130)</f>
        <v>7.416666666666667</v>
      </c>
    </row>
    <row r="138" spans="1:6">
      <c r="A138" s="139">
        <f>IF('Data Table Input'!A131="","",'Data Table Input'!A131)</f>
        <v>90</v>
      </c>
      <c r="B138" s="140">
        <f>IF('Data Table Input'!A131="","",'Data Table Input'!B131)</f>
        <v>48.330521139398222</v>
      </c>
      <c r="C138" s="140">
        <f>IF('Data Table Input'!A131="","",'Data Table Input'!C131)</f>
        <v>15.384082683085138</v>
      </c>
      <c r="D138" s="140" t="str">
        <f>IF('Data Table Input'!A131="","",'Data Table Input'!D131)</f>
        <v>Open</v>
      </c>
      <c r="E138" s="140" t="str">
        <f>IF('Data Table Input'!A131="","",'Data Table Input'!F131)</f>
        <v>Fully Open</v>
      </c>
      <c r="F138" s="140">
        <f>IF('Data Table Input'!A131="","",'Data Table Input'!G131)</f>
        <v>7.5</v>
      </c>
    </row>
    <row r="139" spans="1:6">
      <c r="A139" s="139">
        <f>IF('Data Table Input'!A132="","",'Data Table Input'!A132)</f>
        <v>91</v>
      </c>
      <c r="B139" s="140">
        <f>IF('Data Table Input'!A132="","",'Data Table Input'!B132)</f>
        <v>48.598282308251896</v>
      </c>
      <c r="C139" s="140">
        <f>IF('Data Table Input'!A132="","",'Data Table Input'!C132)</f>
        <v>15.469313710267389</v>
      </c>
      <c r="D139" s="140" t="str">
        <f>IF('Data Table Input'!A132="","",'Data Table Input'!D132)</f>
        <v>Open</v>
      </c>
      <c r="E139" s="140" t="str">
        <f>IF('Data Table Input'!A132="","",'Data Table Input'!F132)</f>
        <v>Fully Open</v>
      </c>
      <c r="F139" s="140">
        <f>IF('Data Table Input'!A132="","",'Data Table Input'!G132)</f>
        <v>7.583333333333333</v>
      </c>
    </row>
    <row r="140" spans="1:6">
      <c r="A140" s="139">
        <f>IF('Data Table Input'!A133="","",'Data Table Input'!A133)</f>
        <v>92</v>
      </c>
      <c r="B140" s="140">
        <f>IF('Data Table Input'!A133="","",'Data Table Input'!B133)</f>
        <v>48.86457625948762</v>
      </c>
      <c r="C140" s="140">
        <f>IF('Data Table Input'!A133="","",'Data Table Input'!C133)</f>
        <v>15.554077707576665</v>
      </c>
      <c r="D140" s="140" t="str">
        <f>IF('Data Table Input'!A133="","",'Data Table Input'!D133)</f>
        <v>Open</v>
      </c>
      <c r="E140" s="140" t="str">
        <f>IF('Data Table Input'!A133="","",'Data Table Input'!F133)</f>
        <v>Fully Open</v>
      </c>
      <c r="F140" s="140">
        <f>IF('Data Table Input'!A133="","",'Data Table Input'!G133)</f>
        <v>7.666666666666667</v>
      </c>
    </row>
    <row r="141" spans="1:6">
      <c r="A141" s="139">
        <f>IF('Data Table Input'!A134="","",'Data Table Input'!A134)</f>
        <v>93</v>
      </c>
      <c r="B141" s="140">
        <f>IF('Data Table Input'!A134="","",'Data Table Input'!B134)</f>
        <v>49.129426851185762</v>
      </c>
      <c r="C141" s="140">
        <f>IF('Data Table Input'!A134="","",'Data Table Input'!C134)</f>
        <v>15.638382269275811</v>
      </c>
      <c r="D141" s="140" t="str">
        <f>IF('Data Table Input'!A134="","",'Data Table Input'!D134)</f>
        <v>Open</v>
      </c>
      <c r="E141" s="140" t="str">
        <f>IF('Data Table Input'!A134="","",'Data Table Input'!F134)</f>
        <v>Fully Open</v>
      </c>
      <c r="F141" s="140">
        <f>IF('Data Table Input'!A134="","",'Data Table Input'!G134)</f>
        <v>7.75</v>
      </c>
    </row>
    <row r="142" spans="1:6">
      <c r="A142" s="139">
        <f>IF('Data Table Input'!A135="","",'Data Table Input'!A135)</f>
        <v>94</v>
      </c>
      <c r="B142" s="140">
        <f>IF('Data Table Input'!A135="","",'Data Table Input'!B135)</f>
        <v>49.392857301767265</v>
      </c>
      <c r="C142" s="140">
        <f>IF('Data Table Input'!A135="","",'Data Table Input'!C135)</f>
        <v>15.722234786017752</v>
      </c>
      <c r="D142" s="140" t="str">
        <f>IF('Data Table Input'!A135="","",'Data Table Input'!D135)</f>
        <v>Open</v>
      </c>
      <c r="E142" s="140" t="str">
        <f>IF('Data Table Input'!A135="","",'Data Table Input'!F135)</f>
        <v>Fully Open</v>
      </c>
      <c r="F142" s="140">
        <f>IF('Data Table Input'!A135="","",'Data Table Input'!G135)</f>
        <v>7.833333333333333</v>
      </c>
    </row>
    <row r="143" spans="1:6">
      <c r="A143" s="139">
        <f>IF('Data Table Input'!A136="","",'Data Table Input'!A136)</f>
        <v>95</v>
      </c>
      <c r="B143" s="140">
        <f>IF('Data Table Input'!A136="","",'Data Table Input'!B136)</f>
        <v>49.654890213749091</v>
      </c>
      <c r="C143" s="140">
        <f>IF('Data Table Input'!A136="","",'Data Table Input'!C136)</f>
        <v>15.805642452407096</v>
      </c>
      <c r="D143" s="140" t="str">
        <f>IF('Data Table Input'!A136="","",'Data Table Input'!D136)</f>
        <v>Open</v>
      </c>
      <c r="E143" s="140" t="str">
        <f>IF('Data Table Input'!A136="","",'Data Table Input'!F136)</f>
        <v>Fully Open</v>
      </c>
      <c r="F143" s="140">
        <f>IF('Data Table Input'!A136="","",'Data Table Input'!G136)</f>
        <v>7.916666666666667</v>
      </c>
    </row>
    <row r="144" spans="1:6">
      <c r="A144" s="139">
        <f>IF('Data Table Input'!A137="","",'Data Table Input'!A137)</f>
        <v>96</v>
      </c>
      <c r="B144" s="140">
        <f>IF('Data Table Input'!A137="","",'Data Table Input'!B137)</f>
        <v>49.915547596377287</v>
      </c>
      <c r="C144" s="140">
        <f>IF('Data Table Input'!A137="","",'Data Table Input'!C137)</f>
        <v>15.888612274204441</v>
      </c>
      <c r="D144" s="140" t="str">
        <f>IF('Data Table Input'!A137="","",'Data Table Input'!D137)</f>
        <v>Open</v>
      </c>
      <c r="E144" s="140" t="str">
        <f>IF('Data Table Input'!A137="","",'Data Table Input'!F137)</f>
        <v>Fully Open</v>
      </c>
      <c r="F144" s="140">
        <f>IF('Data Table Input'!A137="","",'Data Table Input'!G137)</f>
        <v>8</v>
      </c>
    </row>
    <row r="145" spans="1:6">
      <c r="A145" s="139">
        <f>IF('Data Table Input'!A138="","",'Data Table Input'!A138)</f>
        <v>97</v>
      </c>
      <c r="B145" s="140">
        <f>IF('Data Table Input'!A138="","",'Data Table Input'!B138)</f>
        <v>50.174850887201828</v>
      </c>
      <c r="C145" s="140">
        <f>IF('Data Table Input'!A138="","",'Data Table Input'!C138)</f>
        <v>15.971151075193882</v>
      </c>
      <c r="D145" s="140" t="str">
        <f>IF('Data Table Input'!A138="","",'Data Table Input'!D138)</f>
        <v>Open</v>
      </c>
      <c r="E145" s="140" t="str">
        <f>IF('Data Table Input'!A138="","",'Data Table Input'!F138)</f>
        <v>Fully Open</v>
      </c>
      <c r="F145" s="140">
        <f>IF('Data Table Input'!A138="","",'Data Table Input'!G138)</f>
        <v>8.0833333333333339</v>
      </c>
    </row>
    <row r="146" spans="1:6">
      <c r="A146" s="139">
        <f>IF('Data Table Input'!A139="","",'Data Table Input'!A139)</f>
        <v>98</v>
      </c>
      <c r="B146" s="140">
        <f>IF('Data Table Input'!A139="","",'Data Table Input'!B139)</f>
        <v>50.432820972653005</v>
      </c>
      <c r="C146" s="140">
        <f>IF('Data Table Input'!A139="","",'Data Table Input'!C139)</f>
        <v>16.053265503732671</v>
      </c>
      <c r="D146" s="140" t="str">
        <f>IF('Data Table Input'!A139="","",'Data Table Input'!D139)</f>
        <v>Open</v>
      </c>
      <c r="E146" s="140" t="str">
        <f>IF('Data Table Input'!A139="","",'Data Table Input'!F139)</f>
        <v>Fully Open</v>
      </c>
      <c r="F146" s="140">
        <f>IF('Data Table Input'!A139="","",'Data Table Input'!G139)</f>
        <v>8.1666666666666661</v>
      </c>
    </row>
    <row r="147" spans="1:6">
      <c r="A147" s="139">
        <f>IF('Data Table Input'!A140="","",'Data Table Input'!A140)</f>
        <v>99</v>
      </c>
      <c r="B147" s="140">
        <f>IF('Data Table Input'!A140="","",'Data Table Input'!B140)</f>
        <v>50.689478207675414</v>
      </c>
      <c r="C147" s="140">
        <f>IF('Data Table Input'!A140="","",'Data Table Input'!C140)</f>
        <v>16.1349620390009</v>
      </c>
      <c r="D147" s="140" t="str">
        <f>IF('Data Table Input'!A140="","",'Data Table Input'!D140)</f>
        <v>Open</v>
      </c>
      <c r="E147" s="140" t="str">
        <f>IF('Data Table Input'!A140="","",'Data Table Input'!F140)</f>
        <v>Fully Open</v>
      </c>
      <c r="F147" s="140">
        <f>IF('Data Table Input'!A140="","",'Data Table Input'!G140)</f>
        <v>8.25</v>
      </c>
    </row>
    <row r="148" spans="1:6">
      <c r="A148" s="139">
        <f>IF('Data Table Input'!A141="","",'Data Table Input'!A141)</f>
        <v>100</v>
      </c>
      <c r="B148" s="140">
        <f>IF('Data Table Input'!A141="","",'Data Table Input'!B141)</f>
        <v>50.944842434471532</v>
      </c>
      <c r="C148" s="140">
        <f>IF('Data Table Input'!A141="","",'Data Table Input'!C141)</f>
        <v>16.216246996967783</v>
      </c>
      <c r="D148" s="140" t="str">
        <f>IF('Data Table Input'!A141="","",'Data Table Input'!D141)</f>
        <v>Open</v>
      </c>
      <c r="E148" s="140" t="str">
        <f>IF('Data Table Input'!A141="","",'Data Table Input'!F141)</f>
        <v>Fully Open</v>
      </c>
      <c r="F148" s="140">
        <f>IF('Data Table Input'!A141="","",'Data Table Input'!G141)</f>
        <v>8.3333333333333339</v>
      </c>
    </row>
    <row r="149" spans="1:6">
      <c r="A149" s="139">
        <f>IF('Data Table Input'!A142="","",'Data Table Input'!A142)</f>
        <v>101</v>
      </c>
      <c r="B149" s="140">
        <f>IF('Data Table Input'!A142="","",'Data Table Input'!B142)</f>
        <v>51.198933000404047</v>
      </c>
      <c r="C149" s="140">
        <f>IF('Data Table Input'!A142="","",'Data Table Input'!C142)</f>
        <v>16.297126536090136</v>
      </c>
      <c r="D149" s="140" t="str">
        <f>IF('Data Table Input'!A142="","",'Data Table Input'!D142)</f>
        <v>Open</v>
      </c>
      <c r="E149" s="140" t="str">
        <f>IF('Data Table Input'!A142="","",'Data Table Input'!F142)</f>
        <v>Fully Open</v>
      </c>
      <c r="F149" s="140">
        <f>IF('Data Table Input'!A142="","",'Data Table Input'!G142)</f>
        <v>8.4166666666666661</v>
      </c>
    </row>
    <row r="150" spans="1:6">
      <c r="A150" s="139">
        <f>IF('Data Table Input'!A143="","",'Data Table Input'!A143)</f>
        <v>102</v>
      </c>
      <c r="B150" s="140">
        <f>IF('Data Table Input'!A143="","",'Data Table Input'!B143)</f>
        <v>51.451768775102323</v>
      </c>
      <c r="C150" s="140">
        <f>IF('Data Table Input'!A143="","",'Data Table Input'!C143)</f>
        <v>16.377606662757536</v>
      </c>
      <c r="D150" s="140" t="str">
        <f>IF('Data Table Input'!A143="","",'Data Table Input'!D143)</f>
        <v>Open</v>
      </c>
      <c r="E150" s="140" t="str">
        <f>IF('Data Table Input'!A143="","",'Data Table Input'!F143)</f>
        <v>Fully Open</v>
      </c>
      <c r="F150" s="140">
        <f>IF('Data Table Input'!A143="","",'Data Table Input'!G143)</f>
        <v>8.5</v>
      </c>
    </row>
    <row r="151" spans="1:6">
      <c r="A151" s="139">
        <f>IF('Data Table Input'!A144="","",'Data Table Input'!A144)</f>
        <v>103</v>
      </c>
      <c r="B151" s="140">
        <f>IF('Data Table Input'!A144="","",'Data Table Input'!B144)</f>
        <v>51.703368166816041</v>
      </c>
      <c r="C151" s="140">
        <f>IF('Data Table Input'!A144="","",'Data Table Input'!C144)</f>
        <v>16.457693236497839</v>
      </c>
      <c r="D151" s="140" t="str">
        <f>IF('Data Table Input'!A144="","",'Data Table Input'!D144)</f>
        <v>Open</v>
      </c>
      <c r="E151" s="140" t="str">
        <f>IF('Data Table Input'!A144="","",'Data Table Input'!F144)</f>
        <v>Fully Open</v>
      </c>
      <c r="F151" s="140">
        <f>IF('Data Table Input'!A144="","",'Data Table Input'!G144)</f>
        <v>8.5833333333333339</v>
      </c>
    </row>
    <row r="152" spans="1:6">
      <c r="A152" s="139">
        <f>IF('Data Table Input'!A145="","",'Data Table Input'!A145)</f>
        <v>104</v>
      </c>
      <c r="B152" s="140">
        <f>IF('Data Table Input'!A145="","",'Data Table Input'!B145)</f>
        <v>51.953749138056018</v>
      </c>
      <c r="C152" s="140">
        <f>IF('Data Table Input'!A145="","",'Data Table Input'!C145)</f>
        <v>16.537391974955824</v>
      </c>
      <c r="D152" s="140" t="str">
        <f>IF('Data Table Input'!A145="","",'Data Table Input'!D145)</f>
        <v>Open</v>
      </c>
      <c r="E152" s="140" t="str">
        <f>IF('Data Table Input'!A145="","",'Data Table Input'!F145)</f>
        <v>Fully Open</v>
      </c>
      <c r="F152" s="140">
        <f>IF('Data Table Input'!A145="","",'Data Table Input'!G145)</f>
        <v>8.6666666666666661</v>
      </c>
    </row>
    <row r="153" spans="1:6">
      <c r="A153" s="139">
        <f>IF('Data Table Input'!A146="","",'Data Table Input'!A146)</f>
        <v>105</v>
      </c>
      <c r="B153" s="140">
        <f>IF('Data Table Input'!A146="","",'Data Table Input'!B146)</f>
        <v>52.202929220559916</v>
      </c>
      <c r="C153" s="140">
        <f>IF('Data Table Input'!A146="","",'Data Table Input'!C146)</f>
        <v>16.616708458656909</v>
      </c>
      <c r="D153" s="140" t="str">
        <f>IF('Data Table Input'!A146="","",'Data Table Input'!D146)</f>
        <v>Open</v>
      </c>
      <c r="E153" s="140" t="str">
        <f>IF('Data Table Input'!A146="","",'Data Table Input'!F146)</f>
        <v>Fully Open</v>
      </c>
      <c r="F153" s="140">
        <f>IF('Data Table Input'!A146="","",'Data Table Input'!G146)</f>
        <v>8.75</v>
      </c>
    </row>
    <row r="154" spans="1:6">
      <c r="A154" s="139">
        <f>IF('Data Table Input'!A147="","",'Data Table Input'!A147)</f>
        <v>106</v>
      </c>
      <c r="B154" s="140">
        <f>IF('Data Table Input'!A147="","",'Data Table Input'!B147)</f>
        <v>52.450925529617869</v>
      </c>
      <c r="C154" s="140">
        <f>IF('Data Table Input'!A147="","",'Data Table Input'!C147)</f>
        <v>16.695648135567144</v>
      </c>
      <c r="D154" s="140" t="str">
        <f>IF('Data Table Input'!A147="","",'Data Table Input'!D147)</f>
        <v>Open</v>
      </c>
      <c r="E154" s="140" t="str">
        <f>IF('Data Table Input'!A147="","",'Data Table Input'!F147)</f>
        <v>Fully Open</v>
      </c>
      <c r="F154" s="140">
        <f>IF('Data Table Input'!A147="","",'Data Table Input'!G147)</f>
        <v>8.8333333333333339</v>
      </c>
    </row>
    <row r="155" spans="1:6">
      <c r="A155" s="139">
        <f>IF('Data Table Input'!A148="","",'Data Table Input'!A148)</f>
        <v>107</v>
      </c>
      <c r="B155" s="140">
        <f>IF('Data Table Input'!A148="","",'Data Table Input'!B148)</f>
        <v>52.697754777791538</v>
      </c>
      <c r="C155" s="140">
        <f>IF('Data Table Input'!A148="","",'Data Table Input'!C148)</f>
        <v>16.774216325460134</v>
      </c>
      <c r="D155" s="140" t="str">
        <f>IF('Data Table Input'!A148="","",'Data Table Input'!D148)</f>
        <v>Open</v>
      </c>
      <c r="E155" s="140" t="str">
        <f>IF('Data Table Input'!A148="","",'Data Table Input'!F148)</f>
        <v>Fully Open</v>
      </c>
      <c r="F155" s="140">
        <f>IF('Data Table Input'!A148="","",'Data Table Input'!G148)</f>
        <v>8.9166666666666661</v>
      </c>
    </row>
    <row r="156" spans="1:6">
      <c r="A156" s="139">
        <f>IF('Data Table Input'!A149="","",'Data Table Input'!A149)</f>
        <v>108</v>
      </c>
      <c r="B156" s="140">
        <f>IF('Data Table Input'!A149="","",'Data Table Input'!B149)</f>
        <v>52.943433288057378</v>
      </c>
      <c r="C156" s="140">
        <f>IF('Data Table Input'!A149="","",'Data Table Input'!C149)</f>
        <v>16.85241822410066</v>
      </c>
      <c r="D156" s="140" t="str">
        <f>IF('Data Table Input'!A149="","",'Data Table Input'!D149)</f>
        <v>Open</v>
      </c>
      <c r="E156" s="140" t="str">
        <f>IF('Data Table Input'!A149="","",'Data Table Input'!F149)</f>
        <v>Fully Open</v>
      </c>
      <c r="F156" s="140">
        <f>IF('Data Table Input'!A149="","",'Data Table Input'!G149)</f>
        <v>9</v>
      </c>
    </row>
    <row r="157" spans="1:6">
      <c r="A157" s="139">
        <f>IF('Data Table Input'!A150="","",'Data Table Input'!A150)</f>
        <v>109</v>
      </c>
      <c r="B157" s="140">
        <f>IF('Data Table Input'!A150="","",'Data Table Input'!B150)</f>
        <v>53.187977006403564</v>
      </c>
      <c r="C157" s="140">
        <f>IF('Data Table Input'!A150="","",'Data Table Input'!C150)</f>
        <v>16.930258907254395</v>
      </c>
      <c r="D157" s="140" t="str">
        <f>IF('Data Table Input'!A150="","",'Data Table Input'!D150)</f>
        <v>Open</v>
      </c>
      <c r="E157" s="140" t="str">
        <f>IF('Data Table Input'!A150="","",'Data Table Input'!F150)</f>
        <v>Fully Open</v>
      </c>
      <c r="F157" s="140">
        <f>IF('Data Table Input'!A150="","",'Data Table Input'!G150)</f>
        <v>9.0833333333333339</v>
      </c>
    </row>
    <row r="158" spans="1:6">
      <c r="A158" s="139">
        <f>IF('Data Table Input'!A151="","",'Data Table Input'!A151)</f>
        <v>110</v>
      </c>
      <c r="B158" s="140">
        <f>IF('Data Table Input'!A151="","",'Data Table Input'!B151)</f>
        <v>53.43140151390795</v>
      </c>
      <c r="C158" s="140">
        <f>IF('Data Table Input'!A151="","",'Data Table Input'!C151)</f>
        <v>17.00774333453246</v>
      </c>
      <c r="D158" s="140" t="str">
        <f>IF('Data Table Input'!A151="","",'Data Table Input'!D151)</f>
        <v>Open</v>
      </c>
      <c r="E158" s="140" t="str">
        <f>IF('Data Table Input'!A151="","",'Data Table Input'!F151)</f>
        <v>Fully Open</v>
      </c>
      <c r="F158" s="140">
        <f>IF('Data Table Input'!A151="","",'Data Table Input'!G151)</f>
        <v>9.1666666666666661</v>
      </c>
    </row>
    <row r="159" spans="1:6">
      <c r="A159" s="139">
        <f>IF('Data Table Input'!A152="","",'Data Table Input'!A152)</f>
        <v>111</v>
      </c>
      <c r="B159" s="140">
        <f>IF('Data Table Input'!A152="","",'Data Table Input'!B152)</f>
        <v>53.673722038323149</v>
      </c>
      <c r="C159" s="140">
        <f>IF('Data Table Input'!A152="","",'Data Table Input'!C152)</f>
        <v>17.084876353079061</v>
      </c>
      <c r="D159" s="140" t="str">
        <f>IF('Data Table Input'!A152="","",'Data Table Input'!D152)</f>
        <v>Open</v>
      </c>
      <c r="E159" s="140" t="str">
        <f>IF('Data Table Input'!A152="","",'Data Table Input'!F152)</f>
        <v>Fully Open</v>
      </c>
      <c r="F159" s="140">
        <f>IF('Data Table Input'!A152="","",'Data Table Input'!G152)</f>
        <v>9.25</v>
      </c>
    </row>
    <row r="160" spans="1:6">
      <c r="A160" s="139">
        <f>IF('Data Table Input'!A153="","",'Data Table Input'!A153)</f>
        <v>112</v>
      </c>
      <c r="B160" s="140">
        <f>IF('Data Table Input'!A153="","",'Data Table Input'!B153)</f>
        <v>53.914953465192824</v>
      </c>
      <c r="C160" s="140">
        <f>IF('Data Table Input'!A153="","",'Data Table Input'!C153)</f>
        <v>17.161662701109901</v>
      </c>
      <c r="D160" s="140" t="str">
        <f>IF('Data Table Input'!A153="","",'Data Table Input'!D153)</f>
        <v>Open</v>
      </c>
      <c r="E160" s="140" t="str">
        <f>IF('Data Table Input'!A153="","",'Data Table Input'!F153)</f>
        <v>Fully Open</v>
      </c>
      <c r="F160" s="140">
        <f>IF('Data Table Input'!A153="","",'Data Table Input'!G153)</f>
        <v>9.3333333333333339</v>
      </c>
    </row>
    <row r="161" spans="1:6">
      <c r="A161" s="139">
        <f>IF('Data Table Input'!A154="","",'Data Table Input'!A154)</f>
        <v>113</v>
      </c>
      <c r="B161" s="140">
        <f>IF('Data Table Input'!A154="","",'Data Table Input'!B154)</f>
        <v>54.155110348522406</v>
      </c>
      <c r="C161" s="140">
        <f>IF('Data Table Input'!A154="","",'Data Table Input'!C154)</f>
        <v>17.238107011308792</v>
      </c>
      <c r="D161" s="140" t="str">
        <f>IF('Data Table Input'!A154="","",'Data Table Input'!D154)</f>
        <v>Open</v>
      </c>
      <c r="E161" s="140" t="str">
        <f>IF('Data Table Input'!A154="","",'Data Table Input'!F154)</f>
        <v>Fully Open</v>
      </c>
      <c r="F161" s="140">
        <f>IF('Data Table Input'!A154="","",'Data Table Input'!G154)</f>
        <v>9.4166666666666661</v>
      </c>
    </row>
    <row r="162" spans="1:6">
      <c r="A162" s="139">
        <f>IF('Data Table Input'!A155="","",'Data Table Input'!A155)</f>
        <v>114</v>
      </c>
      <c r="B162" s="140">
        <f>IF('Data Table Input'!A155="","",'Data Table Input'!B155)</f>
        <v>54.394206921025791</v>
      </c>
      <c r="C162" s="140">
        <f>IF('Data Table Input'!A155="","",'Data Table Input'!C155)</f>
        <v>17.314213814089278</v>
      </c>
      <c r="D162" s="140" t="str">
        <f>IF('Data Table Input'!A155="","",'Data Table Input'!D155)</f>
        <v>Open</v>
      </c>
      <c r="E162" s="140" t="str">
        <f>IF('Data Table Input'!A155="","",'Data Table Input'!F155)</f>
        <v>Fully Open</v>
      </c>
      <c r="F162" s="140">
        <f>IF('Data Table Input'!A155="","",'Data Table Input'!G155)</f>
        <v>9.5</v>
      </c>
    </row>
    <row r="163" spans="1:6">
      <c r="A163" s="139">
        <f>IF('Data Table Input'!A156="","",'Data Table Input'!A156)</f>
        <v>115</v>
      </c>
      <c r="B163" s="140">
        <f>IF('Data Table Input'!A156="","",'Data Table Input'!B156)</f>
        <v>54.632257103968364</v>
      </c>
      <c r="C163" s="140">
        <f>IF('Data Table Input'!A156="","",'Data Table Input'!C156)</f>
        <v>17.389987540727759</v>
      </c>
      <c r="D163" s="140" t="str">
        <f>IF('Data Table Input'!A156="","",'Data Table Input'!D156)</f>
        <v>Open</v>
      </c>
      <c r="E163" s="140" t="str">
        <f>IF('Data Table Input'!A156="","",'Data Table Input'!F156)</f>
        <v>Fully Open</v>
      </c>
      <c r="F163" s="140">
        <f>IF('Data Table Input'!A156="","",'Data Table Input'!G156)</f>
        <v>9.5833333333333339</v>
      </c>
    </row>
    <row r="164" spans="1:6">
      <c r="A164" s="139">
        <f>IF('Data Table Input'!A157="","",'Data Table Input'!A157)</f>
        <v>116</v>
      </c>
      <c r="B164" s="140">
        <f>IF('Data Table Input'!A157="","",'Data Table Input'!B157)</f>
        <v>54.869274516625715</v>
      </c>
      <c r="C164" s="140">
        <f>IF('Data Table Input'!A157="","",'Data Table Input'!C157)</f>
        <v>17.465432526374297</v>
      </c>
      <c r="D164" s="140" t="str">
        <f>IF('Data Table Input'!A157="","",'Data Table Input'!D157)</f>
        <v>Open</v>
      </c>
      <c r="E164" s="140" t="str">
        <f>IF('Data Table Input'!A157="","",'Data Table Input'!F157)</f>
        <v>Fully Open</v>
      </c>
      <c r="F164" s="140">
        <f>IF('Data Table Input'!A157="","",'Data Table Input'!G157)</f>
        <v>9.6666666666666661</v>
      </c>
    </row>
    <row r="165" spans="1:6">
      <c r="A165" s="139">
        <f>IF('Data Table Input'!A158="","",'Data Table Input'!A158)</f>
        <v>117</v>
      </c>
      <c r="B165" s="140">
        <f>IF('Data Table Input'!A158="","",'Data Table Input'!B158)</f>
        <v>55.105272485376247</v>
      </c>
      <c r="C165" s="140">
        <f>IF('Data Table Input'!A158="","",'Data Table Input'!C158)</f>
        <v>17.540553012946887</v>
      </c>
      <c r="D165" s="140" t="str">
        <f>IF('Data Table Input'!A158="","",'Data Table Input'!D158)</f>
        <v>Open</v>
      </c>
      <c r="E165" s="140" t="str">
        <f>IF('Data Table Input'!A158="","",'Data Table Input'!F158)</f>
        <v>Fully Open</v>
      </c>
      <c r="F165" s="140">
        <f>IF('Data Table Input'!A158="","",'Data Table Input'!G158)</f>
        <v>9.75</v>
      </c>
    </row>
    <row r="166" spans="1:6">
      <c r="A166" s="139">
        <f>IF('Data Table Input'!A159="","",'Data Table Input'!A159)</f>
        <v>118</v>
      </c>
      <c r="B166" s="140">
        <f>IF('Data Table Input'!A159="","",'Data Table Input'!B159)</f>
        <v>55.340264052444631</v>
      </c>
      <c r="C166" s="140">
        <f>IF('Data Table Input'!A159="","",'Data Table Input'!C159)</f>
        <v>17.615353151914572</v>
      </c>
      <c r="D166" s="140" t="str">
        <f>IF('Data Table Input'!A159="","",'Data Table Input'!D159)</f>
        <v>Open</v>
      </c>
      <c r="E166" s="140" t="str">
        <f>IF('Data Table Input'!A159="","",'Data Table Input'!F159)</f>
        <v>Fully Open</v>
      </c>
      <c r="F166" s="140">
        <f>IF('Data Table Input'!A159="","",'Data Table Input'!G159)</f>
        <v>9.8333333333333339</v>
      </c>
    </row>
    <row r="167" spans="1:6">
      <c r="A167" s="139">
        <f>IF('Data Table Input'!A160="","",'Data Table Input'!A160)</f>
        <v>119</v>
      </c>
      <c r="B167" s="140">
        <f>IF('Data Table Input'!A160="","",'Data Table Input'!B160)</f>
        <v>55.57426198431272</v>
      </c>
      <c r="C167" s="140">
        <f>IF('Data Table Input'!A160="","",'Data Table Input'!C160)</f>
        <v>17.689837006974749</v>
      </c>
      <c r="D167" s="140" t="str">
        <f>IF('Data Table Input'!A160="","",'Data Table Input'!D160)</f>
        <v>Open</v>
      </c>
      <c r="E167" s="140" t="str">
        <f>IF('Data Table Input'!A160="","",'Data Table Input'!F160)</f>
        <v>Fully Open</v>
      </c>
      <c r="F167" s="140">
        <f>IF('Data Table Input'!A160="","",'Data Table Input'!G160)</f>
        <v>9.9166666666666661</v>
      </c>
    </row>
    <row r="168" spans="1:6">
      <c r="A168" s="139">
        <f>IF('Data Table Input'!A161="","",'Data Table Input'!A161)</f>
        <v>120</v>
      </c>
      <c r="B168" s="140">
        <f>IF('Data Table Input'!A161="","",'Data Table Input'!B161)</f>
        <v>55.807278779812926</v>
      </c>
      <c r="C168" s="140">
        <f>IF('Data Table Input'!A161="","",'Data Table Input'!C161)</f>
        <v>17.764008556629328</v>
      </c>
      <c r="D168" s="140" t="str">
        <f>IF('Data Table Input'!A161="","",'Data Table Input'!D161)</f>
        <v>Open</v>
      </c>
      <c r="E168" s="140" t="str">
        <f>IF('Data Table Input'!A161="","",'Data Table Input'!F161)</f>
        <v>Fully Open</v>
      </c>
      <c r="F168" s="140">
        <f>IF('Data Table Input'!A161="","",'Data Table Input'!G161)</f>
        <v>10</v>
      </c>
    </row>
    <row r="169" spans="1:6">
      <c r="A169" s="139">
        <f>IF('Data Table Input'!A162="","",'Data Table Input'!A162)</f>
        <v>121</v>
      </c>
      <c r="B169" s="140">
        <f>IF('Data Table Input'!A162="","",'Data Table Input'!B162)</f>
        <v>56.039326677918694</v>
      </c>
      <c r="C169" s="140">
        <f>IF('Data Table Input'!A162="","",'Data Table Input'!C162)</f>
        <v>17.837871696664564</v>
      </c>
      <c r="D169" s="140" t="str">
        <f>IF('Data Table Input'!A162="","",'Data Table Input'!D162)</f>
        <v>Open</v>
      </c>
      <c r="E169" s="140" t="str">
        <f>IF('Data Table Input'!A162="","",'Data Table Input'!F162)</f>
        <v>Fully Open</v>
      </c>
      <c r="F169" s="140">
        <f>IF('Data Table Input'!A162="","",'Data Table Input'!G162)</f>
        <v>10.083333333333334</v>
      </c>
    </row>
    <row r="170" spans="1:6">
      <c r="A170" s="139">
        <f>IF('Data Table Input'!A163="","",'Data Table Input'!A163)</f>
        <v>122</v>
      </c>
      <c r="B170" s="140">
        <f>IF('Data Table Input'!A163="","",'Data Table Input'!B163)</f>
        <v>56.27041766524593</v>
      </c>
      <c r="C170" s="140">
        <f>IF('Data Table Input'!A163="","",'Data Table Input'!C163)</f>
        <v>17.911430242538795</v>
      </c>
      <c r="D170" s="140" t="str">
        <f>IF('Data Table Input'!A163="","",'Data Table Input'!D163)</f>
        <v>Open</v>
      </c>
      <c r="E170" s="140" t="str">
        <f>IF('Data Table Input'!A163="","",'Data Table Input'!F163)</f>
        <v>Fully Open</v>
      </c>
      <c r="F170" s="140">
        <f>IF('Data Table Input'!A163="","",'Data Table Input'!G163)</f>
        <v>10.166666666666666</v>
      </c>
    </row>
    <row r="171" spans="1:6">
      <c r="A171" s="139">
        <f>IF('Data Table Input'!A164="","",'Data Table Input'!A164)</f>
        <v>123</v>
      </c>
      <c r="B171" s="140">
        <f>IF('Data Table Input'!A164="","",'Data Table Input'!B164)</f>
        <v>56.500563483278221</v>
      </c>
      <c r="C171" s="140">
        <f>IF('Data Table Input'!A164="","",'Data Table Input'!C164)</f>
        <v>17.98468793168233</v>
      </c>
      <c r="D171" s="140" t="str">
        <f>IF('Data Table Input'!A164="","",'Data Table Input'!D164)</f>
        <v>Open</v>
      </c>
      <c r="E171" s="140" t="str">
        <f>IF('Data Table Input'!A164="","",'Data Table Input'!F164)</f>
        <v>Fully Open</v>
      </c>
      <c r="F171" s="140">
        <f>IF('Data Table Input'!A164="","",'Data Table Input'!G164)</f>
        <v>10.25</v>
      </c>
    </row>
    <row r="172" spans="1:6">
      <c r="A172" s="139">
        <f>IF('Data Table Input'!A165="","",'Data Table Input'!A165)</f>
        <v>124</v>
      </c>
      <c r="B172" s="140">
        <f>IF('Data Table Input'!A165="","",'Data Table Input'!B165)</f>
        <v>56.729775635328259</v>
      </c>
      <c r="C172" s="140">
        <f>IF('Data Table Input'!A165="","",'Data Table Input'!C165)</f>
        <v>18.057648425713321</v>
      </c>
      <c r="D172" s="140" t="str">
        <f>IF('Data Table Input'!A165="","",'Data Table Input'!D165)</f>
        <v>Open</v>
      </c>
      <c r="E172" s="140" t="str">
        <f>IF('Data Table Input'!A165="","",'Data Table Input'!F165)</f>
        <v>Fully Open</v>
      </c>
      <c r="F172" s="140">
        <f>IF('Data Table Input'!A165="","",'Data Table Input'!G165)</f>
        <v>10.333333333333334</v>
      </c>
    </row>
    <row r="173" spans="1:6">
      <c r="A173" s="139">
        <f>IF('Data Table Input'!A166="","",'Data Table Input'!A166)</f>
        <v>125</v>
      </c>
      <c r="B173" s="140">
        <f>IF('Data Table Input'!A166="","",'Data Table Input'!B166)</f>
        <v>56.958065393247118</v>
      </c>
      <c r="C173" s="140">
        <f>IF('Data Table Input'!A166="","",'Data Table Input'!C166)</f>
        <v>18.130315312573398</v>
      </c>
      <c r="D173" s="140" t="str">
        <f>IF('Data Table Input'!A166="","",'Data Table Input'!D166)</f>
        <v>Open</v>
      </c>
      <c r="E173" s="140" t="str">
        <f>IF('Data Table Input'!A166="","",'Data Table Input'!F166)</f>
        <v>Fully Open</v>
      </c>
      <c r="F173" s="140">
        <f>IF('Data Table Input'!A166="","",'Data Table Input'!G166)</f>
        <v>10.416666666666666</v>
      </c>
    </row>
    <row r="174" spans="1:6">
      <c r="A174" s="139">
        <f>IF('Data Table Input'!A167="","",'Data Table Input'!A167)</f>
        <v>126</v>
      </c>
      <c r="B174" s="140">
        <f>IF('Data Table Input'!A167="","",'Data Table Input'!B167)</f>
        <v>57.18544380389249</v>
      </c>
      <c r="C174" s="140">
        <f>IF('Data Table Input'!A167="","",'Data Table Input'!C167)</f>
        <v>18.202692108586575</v>
      </c>
      <c r="D174" s="140" t="str">
        <f>IF('Data Table Input'!A167="","",'Data Table Input'!D167)</f>
        <v>Open</v>
      </c>
      <c r="E174" s="140" t="str">
        <f>IF('Data Table Input'!A167="","",'Data Table Input'!F167)</f>
        <v>Fully Open</v>
      </c>
      <c r="F174" s="140">
        <f>IF('Data Table Input'!A167="","",'Data Table Input'!G167)</f>
        <v>10.5</v>
      </c>
    </row>
    <row r="175" spans="1:6">
      <c r="A175" s="139">
        <f>IF('Data Table Input'!A168="","",'Data Table Input'!A168)</f>
        <v>127</v>
      </c>
      <c r="B175" s="140">
        <f>IF('Data Table Input'!A168="","",'Data Table Input'!B168)</f>
        <v>57.411921695366352</v>
      </c>
      <c r="C175" s="140">
        <f>IF('Data Table Input'!A168="","",'Data Table Input'!C168)</f>
        <v>18.274782260444766</v>
      </c>
      <c r="D175" s="140" t="str">
        <f>IF('Data Table Input'!A168="","",'Data Table Input'!D168)</f>
        <v>Open</v>
      </c>
      <c r="E175" s="140" t="str">
        <f>IF('Data Table Input'!A168="","",'Data Table Input'!F168)</f>
        <v>Fully Open</v>
      </c>
      <c r="F175" s="140">
        <f>IF('Data Table Input'!A168="","",'Data Table Input'!G168)</f>
        <v>10.583333333333334</v>
      </c>
    </row>
    <row r="176" spans="1:6">
      <c r="A176" s="139">
        <f>IF('Data Table Input'!A169="","",'Data Table Input'!A169)</f>
        <v>128</v>
      </c>
      <c r="B176" s="140">
        <f>IF('Data Table Input'!A169="","",'Data Table Input'!B169)</f>
        <v>57.637509683032008</v>
      </c>
      <c r="C176" s="140">
        <f>IF('Data Table Input'!A169="","",'Data Table Input'!C169)</f>
        <v>18.346589147123051</v>
      </c>
      <c r="D176" s="140" t="str">
        <f>IF('Data Table Input'!A169="","",'Data Table Input'!D169)</f>
        <v>Open</v>
      </c>
      <c r="E176" s="140" t="str">
        <f>IF('Data Table Input'!A169="","",'Data Table Input'!F169)</f>
        <v>Fully Open</v>
      </c>
      <c r="F176" s="140">
        <f>IF('Data Table Input'!A169="","",'Data Table Input'!G169)</f>
        <v>10.666666666666666</v>
      </c>
    </row>
    <row r="177" spans="1:6">
      <c r="A177" s="139">
        <f>IF('Data Table Input'!A170="","",'Data Table Input'!A170)</f>
        <v>129</v>
      </c>
      <c r="B177" s="140">
        <f>IF('Data Table Input'!A170="","",'Data Table Input'!B170)</f>
        <v>57.862218175320073</v>
      </c>
      <c r="C177" s="140">
        <f>IF('Data Table Input'!A170="","",'Data Table Input'!C170)</f>
        <v>18.418116081727796</v>
      </c>
      <c r="D177" s="140" t="str">
        <f>IF('Data Table Input'!A170="","",'Data Table Input'!D170)</f>
        <v>Open</v>
      </c>
      <c r="E177" s="140" t="str">
        <f>IF('Data Table Input'!A170="","",'Data Table Input'!F170)</f>
        <v>Fully Open</v>
      </c>
      <c r="F177" s="140">
        <f>IF('Data Table Input'!A170="","",'Data Table Input'!G170)</f>
        <v>10.75</v>
      </c>
    </row>
    <row r="178" spans="1:6">
      <c r="A178" s="139">
        <f>IF('Data Table Input'!A171="","",'Data Table Input'!A171)</f>
        <v>130</v>
      </c>
      <c r="B178" s="140">
        <f>IF('Data Table Input'!A171="","",'Data Table Input'!B171)</f>
        <v>58.086057379332182</v>
      </c>
      <c r="C178" s="140">
        <f>IF('Data Table Input'!A171="","",'Data Table Input'!C171)</f>
        <v>18.48936631328036</v>
      </c>
      <c r="D178" s="140" t="str">
        <f>IF('Data Table Input'!A171="","",'Data Table Input'!D171)</f>
        <v>Open</v>
      </c>
      <c r="E178" s="140" t="str">
        <f>IF('Data Table Input'!A171="","",'Data Table Input'!F171)</f>
        <v>Fully Open</v>
      </c>
      <c r="F178" s="140">
        <f>IF('Data Table Input'!A171="","",'Data Table Input'!G171)</f>
        <v>10.833333333333334</v>
      </c>
    </row>
    <row r="179" spans="1:6">
      <c r="A179" s="139">
        <f>IF('Data Table Input'!A172="","",'Data Table Input'!A172)</f>
        <v>131</v>
      </c>
      <c r="B179" s="140">
        <f>IF('Data Table Input'!A172="","",'Data Table Input'!B172)</f>
        <v>58.30903730625127</v>
      </c>
      <c r="C179" s="140">
        <f>IF('Data Table Input'!A172="","",'Data Table Input'!C172)</f>
        <v>18.560343028439245</v>
      </c>
      <c r="D179" s="140" t="str">
        <f>IF('Data Table Input'!A172="","",'Data Table Input'!D172)</f>
        <v>Open</v>
      </c>
      <c r="E179" s="140" t="str">
        <f>IF('Data Table Input'!A172="","",'Data Table Input'!F172)</f>
        <v>Fully Open</v>
      </c>
      <c r="F179" s="140">
        <f>IF('Data Table Input'!A172="","",'Data Table Input'!G172)</f>
        <v>10.916666666666666</v>
      </c>
    </row>
    <row r="180" spans="1:6">
      <c r="A180" s="139">
        <f>IF('Data Table Input'!A173="","",'Data Table Input'!A173)</f>
        <v>132</v>
      </c>
      <c r="B180" s="140">
        <f>IF('Data Table Input'!A173="","",'Data Table Input'!B173)</f>
        <v>58.531167776566136</v>
      </c>
      <c r="C180" s="140">
        <f>IF('Data Table Input'!A173="","",'Data Table Input'!C173)</f>
        <v>18.631049353163124</v>
      </c>
      <c r="D180" s="140" t="str">
        <f>IF('Data Table Input'!A173="","",'Data Table Input'!D173)</f>
        <v>Open</v>
      </c>
      <c r="E180" s="140" t="str">
        <f>IF('Data Table Input'!A173="","",'Data Table Input'!F173)</f>
        <v>Fully Open</v>
      </c>
      <c r="F180" s="140">
        <f>IF('Data Table Input'!A173="","",'Data Table Input'!G173)</f>
        <v>11</v>
      </c>
    </row>
    <row r="181" spans="1:6">
      <c r="A181" s="139">
        <f>IF('Data Table Input'!A174="","",'Data Table Input'!A174)</f>
        <v>133</v>
      </c>
      <c r="B181" s="140">
        <f>IF('Data Table Input'!A174="","",'Data Table Input'!B174)</f>
        <v>58.752458425118391</v>
      </c>
      <c r="C181" s="140">
        <f>IF('Data Table Input'!A174="","",'Data Table Input'!C174)</f>
        <v>18.70148835431733</v>
      </c>
      <c r="D181" s="140" t="str">
        <f>IF('Data Table Input'!A174="","",'Data Table Input'!D174)</f>
        <v>Open</v>
      </c>
      <c r="E181" s="140" t="str">
        <f>IF('Data Table Input'!A174="","",'Data Table Input'!F174)</f>
        <v>Fully Open</v>
      </c>
      <c r="F181" s="140">
        <f>IF('Data Table Input'!A174="","",'Data Table Input'!G174)</f>
        <v>11.083333333333334</v>
      </c>
    </row>
    <row r="182" spans="1:6">
      <c r="A182" s="139">
        <f>IF('Data Table Input'!A175="","",'Data Table Input'!A175)</f>
        <v>134</v>
      </c>
      <c r="B182" s="140">
        <f>IF('Data Table Input'!A175="","",'Data Table Input'!B175)</f>
        <v>58.972918705978906</v>
      </c>
      <c r="C182" s="140">
        <f>IF('Data Table Input'!A175="","",'Data Table Input'!C175)</f>
        <v>18.771663041226088</v>
      </c>
      <c r="D182" s="140" t="str">
        <f>IF('Data Table Input'!A175="","",'Data Table Input'!D175)</f>
        <v>Open</v>
      </c>
      <c r="E182" s="140" t="str">
        <f>IF('Data Table Input'!A175="","",'Data Table Input'!F175)</f>
        <v>Fully Open</v>
      </c>
      <c r="F182" s="140">
        <f>IF('Data Table Input'!A175="","",'Data Table Input'!G175)</f>
        <v>11.166666666666666</v>
      </c>
    </row>
    <row r="183" spans="1:6">
      <c r="A183" s="139">
        <f>IF('Data Table Input'!A176="","",'Data Table Input'!A176)</f>
        <v>135</v>
      </c>
      <c r="B183" s="140">
        <f>IF('Data Table Input'!A176="","",'Data Table Input'!B176)</f>
        <v>59.192557897160761</v>
      </c>
      <c r="C183" s="140">
        <f>IF('Data Table Input'!A176="","",'Data Table Input'!C176)</f>
        <v>18.841576367172681</v>
      </c>
      <c r="D183" s="140" t="str">
        <f>IF('Data Table Input'!A176="","",'Data Table Input'!D176)</f>
        <v>Open</v>
      </c>
      <c r="E183" s="140" t="str">
        <f>IF('Data Table Input'!A176="","",'Data Table Input'!F176)</f>
        <v>Fully Open</v>
      </c>
      <c r="F183" s="140">
        <f>IF('Data Table Input'!A176="","",'Data Table Input'!G176)</f>
        <v>11.25</v>
      </c>
    </row>
    <row r="184" spans="1:6">
      <c r="A184" s="139">
        <f>IF('Data Table Input'!A177="","",'Data Table Input'!A177)</f>
        <v>136</v>
      </c>
      <c r="B184" s="140">
        <f>IF('Data Table Input'!A177="","",'Data Table Input'!B177)</f>
        <v>59.41138510517542</v>
      </c>
      <c r="C184" s="140">
        <f>IF('Data Table Input'!A177="","",'Data Table Input'!C177)</f>
        <v>18.911231230849744</v>
      </c>
      <c r="D184" s="140" t="str">
        <f>IF('Data Table Input'!A177="","",'Data Table Input'!D177)</f>
        <v>Open</v>
      </c>
      <c r="E184" s="140" t="str">
        <f>IF('Data Table Input'!A177="","",'Data Table Input'!F177)</f>
        <v>Fully Open</v>
      </c>
      <c r="F184" s="140">
        <f>IF('Data Table Input'!A177="","",'Data Table Input'!G177)</f>
        <v>11.333333333333334</v>
      </c>
    </row>
    <row r="185" spans="1:6">
      <c r="A185" s="139">
        <f>IF('Data Table Input'!A178="","",'Data Table Input'!A178)</f>
        <v>137</v>
      </c>
      <c r="B185" s="140">
        <f>IF('Data Table Input'!A178="","",'Data Table Input'!B178)</f>
        <v>59.629409269438433</v>
      </c>
      <c r="C185" s="140">
        <f>IF('Data Table Input'!A178="","",'Data Table Input'!C178)</f>
        <v>18.980630477761622</v>
      </c>
      <c r="D185" s="140" t="str">
        <f>IF('Data Table Input'!A178="","",'Data Table Input'!D178)</f>
        <v>Open</v>
      </c>
      <c r="E185" s="140" t="str">
        <f>IF('Data Table Input'!A178="","",'Data Table Input'!F178)</f>
        <v>Fully Open</v>
      </c>
      <c r="F185" s="140">
        <f>IF('Data Table Input'!A178="","",'Data Table Input'!G178)</f>
        <v>11.416666666666666</v>
      </c>
    </row>
    <row r="186" spans="1:6">
      <c r="A186" s="139">
        <f>IF('Data Table Input'!A179="","",'Data Table Input'!A179)</f>
        <v>138</v>
      </c>
      <c r="B186" s="140">
        <f>IF('Data Table Input'!A179="","",'Data Table Input'!B179)</f>
        <v>59.846639166530657</v>
      </c>
      <c r="C186" s="140">
        <f>IF('Data Table Input'!A179="","",'Data Table Input'!C179)</f>
        <v>19.049776901580763</v>
      </c>
      <c r="D186" s="140" t="str">
        <f>IF('Data Table Input'!A179="","",'Data Table Input'!D179)</f>
        <v>Open</v>
      </c>
      <c r="E186" s="140" t="str">
        <f>IF('Data Table Input'!A179="","",'Data Table Input'!F179)</f>
        <v>Fully Open</v>
      </c>
      <c r="F186" s="140">
        <f>IF('Data Table Input'!A179="","",'Data Table Input'!G179)</f>
        <v>11.5</v>
      </c>
    </row>
    <row r="187" spans="1:6">
      <c r="A187" s="139">
        <f>IF('Data Table Input'!A180="","",'Data Table Input'!A180)</f>
        <v>139</v>
      </c>
      <c r="B187" s="140">
        <f>IF('Data Table Input'!A180="","",'Data Table Input'!B180)</f>
        <v>60.063083414320765</v>
      </c>
      <c r="C187" s="140">
        <f>IF('Data Table Input'!A180="","",'Data Table Input'!C180)</f>
        <v>19.11867324545997</v>
      </c>
      <c r="D187" s="140" t="str">
        <f>IF('Data Table Input'!A180="","",'Data Table Input'!D180)</f>
        <v>Open</v>
      </c>
      <c r="E187" s="140" t="str">
        <f>IF('Data Table Input'!A180="","",'Data Table Input'!F180)</f>
        <v>Fully Open</v>
      </c>
      <c r="F187" s="140">
        <f>IF('Data Table Input'!A180="","",'Data Table Input'!G180)</f>
        <v>11.583333333333334</v>
      </c>
    </row>
    <row r="188" spans="1:6">
      <c r="A188" s="139">
        <f>IF('Data Table Input'!A181="","",'Data Table Input'!A181)</f>
        <v>140</v>
      </c>
      <c r="B188" s="140">
        <f>IF('Data Table Input'!A181="","",'Data Table Input'!B181)</f>
        <v>60.278750475954489</v>
      </c>
      <c r="C188" s="140">
        <f>IF('Data Table Input'!A181="","",'Data Table Input'!C181)</f>
        <v>19.187322203302191</v>
      </c>
      <c r="D188" s="140" t="str">
        <f>IF('Data Table Input'!A181="","",'Data Table Input'!D181)</f>
        <v>Open</v>
      </c>
      <c r="E188" s="140" t="str">
        <f>IF('Data Table Input'!A181="","",'Data Table Input'!F181)</f>
        <v>Fully Open</v>
      </c>
      <c r="F188" s="140">
        <f>IF('Data Table Input'!A181="","",'Data Table Input'!G181)</f>
        <v>11.666666666666666</v>
      </c>
    </row>
    <row r="189" spans="1:6">
      <c r="A189" s="139">
        <f>IF('Data Table Input'!A182="","",'Data Table Input'!A182)</f>
        <v>141</v>
      </c>
      <c r="B189" s="140">
        <f>IF('Data Table Input'!A182="","",'Data Table Input'!B182)</f>
        <v>60.493648663716051</v>
      </c>
      <c r="C189" s="140">
        <f>IF('Data Table Input'!A182="","",'Data Table Input'!C182)</f>
        <v>19.255726420989678</v>
      </c>
      <c r="D189" s="140" t="str">
        <f>IF('Data Table Input'!A182="","",'Data Table Input'!D182)</f>
        <v>Open</v>
      </c>
      <c r="E189" s="140" t="str">
        <f>IF('Data Table Input'!A182="","",'Data Table Input'!F182)</f>
        <v>Fully Open</v>
      </c>
      <c r="F189" s="140">
        <f>IF('Data Table Input'!A182="","",'Data Table Input'!G182)</f>
        <v>11.75</v>
      </c>
    </row>
    <row r="190" spans="1:6">
      <c r="A190" s="139">
        <f>IF('Data Table Input'!A183="","",'Data Table Input'!A183)</f>
        <v>142</v>
      </c>
      <c r="B190" s="140">
        <f>IF('Data Table Input'!A183="","",'Data Table Input'!B183)</f>
        <v>60.707786142766288</v>
      </c>
      <c r="C190" s="140">
        <f>IF('Data Table Input'!A183="","",'Data Table Input'!C183)</f>
        <v>19.323888497573844</v>
      </c>
      <c r="D190" s="140" t="str">
        <f>IF('Data Table Input'!A183="","",'Data Table Input'!D183)</f>
        <v>Open</v>
      </c>
      <c r="E190" s="140" t="str">
        <f>IF('Data Table Input'!A183="","",'Data Table Input'!F183)</f>
        <v>Fully Open</v>
      </c>
      <c r="F190" s="140">
        <f>IF('Data Table Input'!A183="","",'Data Table Input'!G183)</f>
        <v>11.833333333333334</v>
      </c>
    </row>
    <row r="191" spans="1:6">
      <c r="A191" s="139">
        <f>IF('Data Table Input'!A184="","",'Data Table Input'!A184)</f>
        <v>143</v>
      </c>
      <c r="B191" s="140">
        <f>IF('Data Table Input'!A184="","",'Data Table Input'!B184)</f>
        <v>60.921170934762728</v>
      </c>
      <c r="C191" s="140">
        <f>IF('Data Table Input'!A184="","",'Data Table Input'!C184)</f>
        <v>19.391810986427583</v>
      </c>
      <c r="D191" s="140" t="str">
        <f>IF('Data Table Input'!A184="","",'Data Table Input'!D184)</f>
        <v>Open</v>
      </c>
      <c r="E191" s="140" t="str">
        <f>IF('Data Table Input'!A184="","",'Data Table Input'!F184)</f>
        <v>Fully Open</v>
      </c>
      <c r="F191" s="140">
        <f>IF('Data Table Input'!A184="","",'Data Table Input'!G184)</f>
        <v>11.916666666666666</v>
      </c>
    </row>
    <row r="192" spans="1:6">
      <c r="A192" s="139">
        <f>IF('Data Table Input'!A185="","",'Data Table Input'!A185)</f>
        <v>144</v>
      </c>
      <c r="B192" s="140">
        <f>IF('Data Table Input'!A185="","",'Data Table Input'!B185)</f>
        <v>61.133810921365843</v>
      </c>
      <c r="C192" s="140">
        <f>IF('Data Table Input'!A185="","",'Data Table Input'!C185)</f>
        <v>19.459496396361342</v>
      </c>
      <c r="D192" s="140" t="str">
        <f>IF('Data Table Input'!A185="","",'Data Table Input'!D185)</f>
        <v>Open</v>
      </c>
      <c r="E192" s="140" t="str">
        <f>IF('Data Table Input'!A185="","",'Data Table Input'!F185)</f>
        <v>Fully Open</v>
      </c>
      <c r="F192" s="140">
        <f>IF('Data Table Input'!A185="","",'Data Table Input'!G185)</f>
        <v>12</v>
      </c>
    </row>
    <row r="193" spans="1:6">
      <c r="A193" s="139">
        <f>IF('Data Table Input'!A186="","",'Data Table Input'!A186)</f>
        <v>145</v>
      </c>
      <c r="B193" s="140">
        <f>IF('Data Table Input'!A186="","",'Data Table Input'!B186)</f>
        <v>61.345713847636013</v>
      </c>
      <c r="C193" s="140">
        <f>IF('Data Table Input'!A186="","",'Data Table Input'!C186)</f>
        <v>19.526947192704412</v>
      </c>
      <c r="D193" s="140" t="str">
        <f>IF('Data Table Input'!A186="","",'Data Table Input'!D186)</f>
        <v>Open</v>
      </c>
      <c r="E193" s="140" t="str">
        <f>IF('Data Table Input'!A186="","",'Data Table Input'!F186)</f>
        <v>Fully Open</v>
      </c>
      <c r="F193" s="140">
        <f>IF('Data Table Input'!A186="","",'Data Table Input'!G186)</f>
        <v>12.083333333333334</v>
      </c>
    </row>
    <row r="194" spans="1:6">
      <c r="A194" s="139">
        <f>IF('Data Table Input'!A187="","",'Data Table Input'!A187)</f>
        <v>146</v>
      </c>
      <c r="B194" s="140">
        <f>IF('Data Table Input'!A187="","",'Data Table Input'!B187)</f>
        <v>61.556887325325121</v>
      </c>
      <c r="C194" s="140">
        <f>IF('Data Table Input'!A187="","",'Data Table Input'!C187)</f>
        <v>19.594165798352666</v>
      </c>
      <c r="D194" s="140" t="str">
        <f>IF('Data Table Input'!A187="","",'Data Table Input'!D187)</f>
        <v>Open</v>
      </c>
      <c r="E194" s="140" t="str">
        <f>IF('Data Table Input'!A187="","",'Data Table Input'!F187)</f>
        <v>Fully Open</v>
      </c>
      <c r="F194" s="140">
        <f>IF('Data Table Input'!A187="","",'Data Table Input'!G187)</f>
        <v>12.166666666666666</v>
      </c>
    </row>
    <row r="195" spans="1:6">
      <c r="A195" s="139">
        <f>IF('Data Table Input'!A188="","",'Data Table Input'!A188)</f>
        <v>147</v>
      </c>
      <c r="B195" s="140">
        <f>IF('Data Table Input'!A188="","",'Data Table Input'!B188)</f>
        <v>61.767338836066948</v>
      </c>
      <c r="C195" s="140">
        <f>IF('Data Table Input'!A188="","",'Data Table Input'!C188)</f>
        <v>19.661154594784104</v>
      </c>
      <c r="D195" s="140" t="str">
        <f>IF('Data Table Input'!A188="","",'Data Table Input'!D188)</f>
        <v>Open</v>
      </c>
      <c r="E195" s="140" t="str">
        <f>IF('Data Table Input'!A188="","",'Data Table Input'!F188)</f>
        <v>Fully Open</v>
      </c>
      <c r="F195" s="140">
        <f>IF('Data Table Input'!A188="","",'Data Table Input'!G188)</f>
        <v>12.25</v>
      </c>
    </row>
    <row r="196" spans="1:6">
      <c r="A196" s="139">
        <f>IF('Data Table Input'!A189="","",'Data Table Input'!A189)</f>
        <v>148</v>
      </c>
      <c r="B196" s="140">
        <f>IF('Data Table Input'!A189="","",'Data Table Input'!B189)</f>
        <v>61.977075734470041</v>
      </c>
      <c r="C196" s="140">
        <f>IF('Data Table Input'!A189="","",'Data Table Input'!C189)</f>
        <v>19.727915923043334</v>
      </c>
      <c r="D196" s="140" t="str">
        <f>IF('Data Table Input'!A189="","",'Data Table Input'!D189)</f>
        <v>Open</v>
      </c>
      <c r="E196" s="140" t="str">
        <f>IF('Data Table Input'!A189="","",'Data Table Input'!F189)</f>
        <v>Fully Open</v>
      </c>
      <c r="F196" s="140">
        <f>IF('Data Table Input'!A189="","",'Data Table Input'!G189)</f>
        <v>12.333333333333334</v>
      </c>
    </row>
    <row r="197" spans="1:6">
      <c r="A197" s="139">
        <f>IF('Data Table Input'!A190="","",'Data Table Input'!A190)</f>
        <v>149</v>
      </c>
      <c r="B197" s="140">
        <f>IF('Data Table Input'!A190="","",'Data Table Input'!B190)</f>
        <v>62.186105251116722</v>
      </c>
      <c r="C197" s="140">
        <f>IF('Data Table Input'!A190="","",'Data Table Input'!C190)</f>
        <v>19.794452084696193</v>
      </c>
      <c r="D197" s="140" t="str">
        <f>IF('Data Table Input'!A190="","",'Data Table Input'!D190)</f>
        <v>Open</v>
      </c>
      <c r="E197" s="140" t="str">
        <f>IF('Data Table Input'!A190="","",'Data Table Input'!F190)</f>
        <v>Fully Open</v>
      </c>
      <c r="F197" s="140">
        <f>IF('Data Table Input'!A190="","",'Data Table Input'!G190)</f>
        <v>12.416666666666666</v>
      </c>
    </row>
    <row r="198" spans="1:6">
      <c r="A198" s="139">
        <f>IF('Data Table Input'!A191="","",'Data Table Input'!A191)</f>
        <v>150</v>
      </c>
      <c r="B198" s="140">
        <f>IF('Data Table Input'!A191="","",'Data Table Input'!B191)</f>
        <v>62.394434495471607</v>
      </c>
      <c r="C198" s="140">
        <f>IF('Data Table Input'!A191="","",'Data Table Input'!C191)</f>
        <v>19.860765342755549</v>
      </c>
      <c r="D198" s="140" t="str">
        <f>IF('Data Table Input'!A191="","",'Data Table Input'!D191)</f>
        <v>Open</v>
      </c>
      <c r="E198" s="140" t="str">
        <f>IF('Data Table Input'!A191="","",'Data Table Input'!F191)</f>
        <v>Fully Open</v>
      </c>
      <c r="F198" s="140">
        <f>IF('Data Table Input'!A191="","",'Data Table Input'!G191)</f>
        <v>12.5</v>
      </c>
    </row>
    <row r="199" spans="1:6">
      <c r="A199" s="139">
        <f>IF('Data Table Input'!A192="","",'Data Table Input'!A192)</f>
        <v>151</v>
      </c>
      <c r="B199" s="140">
        <f>IF('Data Table Input'!A192="","",'Data Table Input'!B192)</f>
        <v>62.60207045870311</v>
      </c>
      <c r="C199" s="140">
        <f>IF('Data Table Input'!A192="","",'Data Table Input'!C192)</f>
        <v>19.926857922579433</v>
      </c>
      <c r="D199" s="140" t="str">
        <f>IF('Data Table Input'!A192="","",'Data Table Input'!D192)</f>
        <v>Open</v>
      </c>
      <c r="E199" s="140" t="str">
        <f>IF('Data Table Input'!A192="","",'Data Table Input'!F192)</f>
        <v>Fully Open</v>
      </c>
      <c r="F199" s="140">
        <f>IF('Data Table Input'!A192="","",'Data Table Input'!G192)</f>
        <v>12.583333333333334</v>
      </c>
    </row>
    <row r="200" spans="1:6">
      <c r="A200" s="139">
        <f>IF('Data Table Input'!A193="","",'Data Table Input'!A193)</f>
        <v>152</v>
      </c>
      <c r="B200" s="140">
        <f>IF('Data Table Input'!A193="","",'Data Table Input'!B193)</f>
        <v>62.809020016420888</v>
      </c>
      <c r="C200" s="140">
        <f>IF('Data Table Input'!A193="","",'Data Table Input'!C193)</f>
        <v>19.992732012742362</v>
      </c>
      <c r="D200" s="140" t="str">
        <f>IF('Data Table Input'!A193="","",'Data Table Input'!D193)</f>
        <v>Open</v>
      </c>
      <c r="E200" s="140" t="str">
        <f>IF('Data Table Input'!A193="","",'Data Table Input'!F193)</f>
        <v>Fully Open</v>
      </c>
      <c r="F200" s="140">
        <f>IF('Data Table Input'!A193="","",'Data Table Input'!G193)</f>
        <v>12.666666666666666</v>
      </c>
    </row>
    <row r="201" spans="1:6">
      <c r="A201" s="139">
        <f>IF('Data Table Input'!A194="","",'Data Table Input'!A194)</f>
        <v>153</v>
      </c>
      <c r="B201" s="140">
        <f>IF('Data Table Input'!A194="","",'Data Table Input'!B194)</f>
        <v>63.015289931332468</v>
      </c>
      <c r="C201" s="140">
        <f>IF('Data Table Input'!A194="","",'Data Table Input'!C194)</f>
        <v>20.05838976588101</v>
      </c>
      <c r="D201" s="140" t="str">
        <f>IF('Data Table Input'!A194="","",'Data Table Input'!D194)</f>
        <v>Open</v>
      </c>
      <c r="E201" s="140" t="str">
        <f>IF('Data Table Input'!A194="","",'Data Table Input'!F194)</f>
        <v>Fully Open</v>
      </c>
      <c r="F201" s="140">
        <f>IF('Data Table Input'!A194="","",'Data Table Input'!G194)</f>
        <v>12.75</v>
      </c>
    </row>
    <row r="202" spans="1:6">
      <c r="A202" s="139">
        <f>IF('Data Table Input'!A195="","",'Data Table Input'!A195)</f>
        <v>154</v>
      </c>
      <c r="B202" s="140">
        <f>IF('Data Table Input'!A195="","",'Data Table Input'!B195)</f>
        <v>63.22088685582181</v>
      </c>
      <c r="C202" s="140">
        <f>IF('Data Table Input'!A195="","",'Data Table Input'!C195)</f>
        <v>20.123833299514949</v>
      </c>
      <c r="D202" s="140" t="str">
        <f>IF('Data Table Input'!A195="","",'Data Table Input'!D195)</f>
        <v>Open</v>
      </c>
      <c r="E202" s="140" t="str">
        <f>IF('Data Table Input'!A195="","",'Data Table Input'!F195)</f>
        <v>Fully Open</v>
      </c>
      <c r="F202" s="140">
        <f>IF('Data Table Input'!A195="","",'Data Table Input'!G195)</f>
        <v>12.833333333333334</v>
      </c>
    </row>
    <row r="203" spans="1:6">
      <c r="A203" s="139">
        <f>IF('Data Table Input'!A196="","",'Data Table Input'!A196)</f>
        <v>155</v>
      </c>
      <c r="B203" s="140">
        <f>IF('Data Table Input'!A196="","",'Data Table Input'!B196)</f>
        <v>63.425817334452645</v>
      </c>
      <c r="C203" s="140">
        <f>IF('Data Table Input'!A196="","",'Data Table Input'!C196)</f>
        <v>20.18906469684352</v>
      </c>
      <c r="D203" s="140" t="str">
        <f>IF('Data Table Input'!A196="","",'Data Table Input'!D196)</f>
        <v>Open</v>
      </c>
      <c r="E203" s="140" t="str">
        <f>IF('Data Table Input'!A196="","",'Data Table Input'!F196)</f>
        <v>Fully Open</v>
      </c>
      <c r="F203" s="140">
        <f>IF('Data Table Input'!A196="","",'Data Table Input'!G196)</f>
        <v>12.916666666666666</v>
      </c>
    </row>
    <row r="204" spans="1:6">
      <c r="A204" s="139">
        <f>IF('Data Table Input'!A197="","",'Data Table Input'!A197)</f>
        <v>156</v>
      </c>
      <c r="B204" s="140">
        <f>IF('Data Table Input'!A197="","",'Data Table Input'!B197)</f>
        <v>63.630087806399303</v>
      </c>
      <c r="C204" s="140">
        <f>IF('Data Table Input'!A197="","",'Data Table Input'!C197)</f>
        <v>20.254086007519568</v>
      </c>
      <c r="D204" s="140" t="str">
        <f>IF('Data Table Input'!A197="","",'Data Table Input'!D197)</f>
        <v>Open</v>
      </c>
      <c r="E204" s="140" t="str">
        <f>IF('Data Table Input'!A197="","",'Data Table Input'!F197)</f>
        <v>Fully Open</v>
      </c>
      <c r="F204" s="140">
        <f>IF('Data Table Input'!A197="","",'Data Table Input'!G197)</f>
        <v>13</v>
      </c>
    </row>
    <row r="205" spans="1:6">
      <c r="A205" s="139">
        <f>IF('Data Table Input'!A198="","",'Data Table Input'!A198)</f>
        <v>157</v>
      </c>
      <c r="B205" s="140">
        <f>IF('Data Table Input'!A198="","",'Data Table Input'!B198)</f>
        <v>63.833704607807441</v>
      </c>
      <c r="C205" s="140">
        <f>IF('Data Table Input'!A198="","",'Data Table Input'!C198)</f>
        <v>20.3188992484009</v>
      </c>
      <c r="D205" s="140" t="str">
        <f>IF('Data Table Input'!A198="","",'Data Table Input'!D198)</f>
        <v>Open</v>
      </c>
      <c r="E205" s="140" t="str">
        <f>IF('Data Table Input'!A198="","",'Data Table Input'!F198)</f>
        <v>Fully Open</v>
      </c>
      <c r="F205" s="140">
        <f>IF('Data Table Input'!A198="","",'Data Table Input'!G198)</f>
        <v>13.083333333333334</v>
      </c>
    </row>
    <row r="206" spans="1:6">
      <c r="A206" s="139">
        <f>IF('Data Table Input'!A199="","",'Data Table Input'!A199)</f>
        <v>158</v>
      </c>
      <c r="B206" s="140">
        <f>IF('Data Table Input'!A199="","",'Data Table Input'!B199)</f>
        <v>64.036673974087293</v>
      </c>
      <c r="C206" s="140">
        <f>IF('Data Table Input'!A199="","",'Data Table Input'!C199)</f>
        <v>20.383506404280237</v>
      </c>
      <c r="D206" s="140" t="str">
        <f>IF('Data Table Input'!A199="","",'Data Table Input'!D199)</f>
        <v>Open</v>
      </c>
      <c r="E206" s="140" t="str">
        <f>IF('Data Table Input'!A199="","",'Data Table Input'!F199)</f>
        <v>Fully Open</v>
      </c>
      <c r="F206" s="140">
        <f>IF('Data Table Input'!A199="","",'Data Table Input'!G199)</f>
        <v>13.166666666666666</v>
      </c>
    </row>
    <row r="207" spans="1:6">
      <c r="A207" s="139">
        <f>IF('Data Table Input'!A200="","",'Data Table Input'!A200)</f>
        <v>159</v>
      </c>
      <c r="B207" s="140">
        <f>IF('Data Table Input'!A200="","",'Data Table Input'!B200)</f>
        <v>64.239002042141649</v>
      </c>
      <c r="C207" s="140">
        <f>IF('Data Table Input'!A200="","",'Data Table Input'!C200)</f>
        <v>20.447909428594407</v>
      </c>
      <c r="D207" s="140" t="str">
        <f>IF('Data Table Input'!A200="","",'Data Table Input'!D200)</f>
        <v>Open</v>
      </c>
      <c r="E207" s="140" t="str">
        <f>IF('Data Table Input'!A200="","",'Data Table Input'!F200)</f>
        <v>Fully Open</v>
      </c>
      <c r="F207" s="140">
        <f>IF('Data Table Input'!A200="","",'Data Table Input'!G200)</f>
        <v>13.25</v>
      </c>
    </row>
    <row r="208" spans="1:6">
      <c r="A208" s="139">
        <f>IF('Data Table Input'!A201="","",'Data Table Input'!A201)</f>
        <v>160</v>
      </c>
      <c r="B208" s="140">
        <f>IF('Data Table Input'!A201="","",'Data Table Input'!B201)</f>
        <v>64.440694852530967</v>
      </c>
      <c r="C208" s="140">
        <f>IF('Data Table Input'!A201="","",'Data Table Input'!C201)</f>
        <v>20.512110244113519</v>
      </c>
      <c r="D208" s="140" t="str">
        <f>IF('Data Table Input'!A201="","",'Data Table Input'!D201)</f>
        <v>Open</v>
      </c>
      <c r="E208" s="140" t="str">
        <f>IF('Data Table Input'!A201="","",'Data Table Input'!F201)</f>
        <v>Fully Open</v>
      </c>
      <c r="F208" s="140">
        <f>IF('Data Table Input'!A201="","",'Data Table Input'!G201)</f>
        <v>13.333333333333334</v>
      </c>
    </row>
    <row r="209" spans="1:6">
      <c r="A209" s="139">
        <f>IF('Data Table Input'!A202="","",'Data Table Input'!A202)</f>
        <v>161</v>
      </c>
      <c r="B209" s="140">
        <f>IF('Data Table Input'!A202="","",'Data Table Input'!B202)</f>
        <v>64.641758351577522</v>
      </c>
      <c r="C209" s="140">
        <f>IF('Data Table Input'!A202="","",'Data Table Input'!C202)</f>
        <v>20.576110743610741</v>
      </c>
      <c r="D209" s="140" t="str">
        <f>IF('Data Table Input'!A202="","",'Data Table Input'!D202)</f>
        <v>Open</v>
      </c>
      <c r="E209" s="140" t="str">
        <f>IF('Data Table Input'!A202="","",'Data Table Input'!F202)</f>
        <v>Fully Open</v>
      </c>
      <c r="F209" s="140">
        <f>IF('Data Table Input'!A202="","",'Data Table Input'!G202)</f>
        <v>13.416666666666666</v>
      </c>
    </row>
    <row r="210" spans="1:6">
      <c r="A210" s="139">
        <f>IF('Data Table Input'!A203="","",'Data Table Input'!A203)</f>
        <v>162</v>
      </c>
      <c r="B210" s="140">
        <f>IF('Data Table Input'!A203="","",'Data Table Input'!B203)</f>
        <v>64.84219839341101</v>
      </c>
      <c r="C210" s="140">
        <f>IF('Data Table Input'!A203="","",'Data Table Input'!C203)</f>
        <v>20.639912790513435</v>
      </c>
      <c r="D210" s="140" t="str">
        <f>IF('Data Table Input'!A203="","",'Data Table Input'!D203)</f>
        <v>Open</v>
      </c>
      <c r="E210" s="140" t="str">
        <f>IF('Data Table Input'!A203="","",'Data Table Input'!F203)</f>
        <v>Fully Open</v>
      </c>
      <c r="F210" s="140">
        <f>IF('Data Table Input'!A203="","",'Data Table Input'!G203)</f>
        <v>13.5</v>
      </c>
    </row>
    <row r="211" spans="1:6">
      <c r="A211" s="139">
        <f>IF('Data Table Input'!A204="","",'Data Table Input'!A204)</f>
        <v>163</v>
      </c>
      <c r="B211" s="140">
        <f>IF('Data Table Input'!A204="","",'Data Table Input'!B204)</f>
        <v>65.042020741957316</v>
      </c>
      <c r="C211" s="140">
        <f>IF('Data Table Input'!A204="","",'Data Table Input'!C204)</f>
        <v>20.703518219536186</v>
      </c>
      <c r="D211" s="140" t="str">
        <f>IF('Data Table Input'!A204="","",'Data Table Input'!D204)</f>
        <v>Open</v>
      </c>
      <c r="E211" s="140" t="str">
        <f>IF('Data Table Input'!A204="","",'Data Table Input'!F204)</f>
        <v>Fully Open</v>
      </c>
      <c r="F211" s="140">
        <f>IF('Data Table Input'!A204="","",'Data Table Input'!G204)</f>
        <v>13.583333333333334</v>
      </c>
    </row>
    <row r="212" spans="1:6">
      <c r="A212" s="139">
        <f>IF('Data Table Input'!A205="","",'Data Table Input'!A205)</f>
        <v>164</v>
      </c>
      <c r="B212" s="140">
        <f>IF('Data Table Input'!A205="","",'Data Table Input'!B205)</f>
        <v>65.241231072872438</v>
      </c>
      <c r="C212" s="140">
        <f>IF('Data Table Input'!A205="","",'Data Table Input'!C205)</f>
        <v>20.766928837296415</v>
      </c>
      <c r="D212" s="140" t="str">
        <f>IF('Data Table Input'!A205="","",'Data Table Input'!D205)</f>
        <v>Open</v>
      </c>
      <c r="E212" s="140" t="str">
        <f>IF('Data Table Input'!A205="","",'Data Table Input'!F205)</f>
        <v>Fully Open</v>
      </c>
      <c r="F212" s="140">
        <f>IF('Data Table Input'!A205="","",'Data Table Input'!G205)</f>
        <v>13.666666666666666</v>
      </c>
    </row>
    <row r="213" spans="1:6">
      <c r="A213" s="139">
        <f>IF('Data Table Input'!A206="","",'Data Table Input'!A206)</f>
        <v>165</v>
      </c>
      <c r="B213" s="140">
        <f>IF('Data Table Input'!A206="","",'Data Table Input'!B206)</f>
        <v>65.439834975423551</v>
      </c>
      <c r="C213" s="140">
        <f>IF('Data Table Input'!A206="","",'Data Table Input'!C206)</f>
        <v>20.830146422913117</v>
      </c>
      <c r="D213" s="140" t="str">
        <f>IF('Data Table Input'!A206="","",'Data Table Input'!D206)</f>
        <v>Open</v>
      </c>
      <c r="E213" s="140" t="str">
        <f>IF('Data Table Input'!A206="","",'Data Table Input'!F206)</f>
        <v>Fully Open</v>
      </c>
      <c r="F213" s="140">
        <f>IF('Data Table Input'!A206="","",'Data Table Input'!G206)</f>
        <v>13.75</v>
      </c>
    </row>
    <row r="214" spans="1:6">
      <c r="A214" s="139">
        <f>IF('Data Table Input'!A207="","",'Data Table Input'!A207)</f>
        <v>166</v>
      </c>
      <c r="B214" s="140">
        <f>IF('Data Table Input'!A207="","",'Data Table Input'!B207)</f>
        <v>65.637837954318684</v>
      </c>
      <c r="C214" s="140">
        <f>IF('Data Table Input'!A207="","",'Data Table Input'!C207)</f>
        <v>20.893172728589278</v>
      </c>
      <c r="D214" s="140" t="str">
        <f>IF('Data Table Input'!A207="","",'Data Table Input'!D207)</f>
        <v>Open</v>
      </c>
      <c r="E214" s="140" t="str">
        <f>IF('Data Table Input'!A207="","",'Data Table Input'!F207)</f>
        <v>Fully Open</v>
      </c>
      <c r="F214" s="140">
        <f>IF('Data Table Input'!A207="","",'Data Table Input'!G207)</f>
        <v>13.833333333333334</v>
      </c>
    </row>
    <row r="215" spans="1:6">
      <c r="A215" s="139">
        <f>IF('Data Table Input'!A208="","",'Data Table Input'!A208)</f>
        <v>167</v>
      </c>
      <c r="B215" s="140">
        <f>IF('Data Table Input'!A208="","",'Data Table Input'!B208)</f>
        <v>65.835245431486996</v>
      </c>
      <c r="C215" s="140">
        <f>IF('Data Table Input'!A208="","",'Data Table Input'!C208)</f>
        <v>20.956009480178551</v>
      </c>
      <c r="D215" s="140" t="str">
        <f>IF('Data Table Input'!A208="","",'Data Table Input'!D208)</f>
        <v>Open</v>
      </c>
      <c r="E215" s="140" t="str">
        <f>IF('Data Table Input'!A208="","",'Data Table Input'!F208)</f>
        <v>Fully Open</v>
      </c>
      <c r="F215" s="140">
        <f>IF('Data Table Input'!A208="","",'Data Table Input'!G208)</f>
        <v>13.916666666666666</v>
      </c>
    </row>
    <row r="216" spans="1:6">
      <c r="A216" s="139">
        <f>IF('Data Table Input'!A209="","",'Data Table Input'!A209)</f>
        <v>168</v>
      </c>
      <c r="B216" s="140">
        <f>IF('Data Table Input'!A209="","",'Data Table Input'!B209)</f>
        <v>66.032062747811096</v>
      </c>
      <c r="C216" s="140">
        <f>IF('Data Table Input'!A209="","",'Data Table Input'!C209)</f>
        <v>21.018658377736674</v>
      </c>
      <c r="D216" s="140" t="str">
        <f>IF('Data Table Input'!A209="","",'Data Table Input'!D209)</f>
        <v>Open</v>
      </c>
      <c r="E216" s="140" t="str">
        <f>IF('Data Table Input'!A209="","",'Data Table Input'!F209)</f>
        <v>Fully Open</v>
      </c>
      <c r="F216" s="140">
        <f>IF('Data Table Input'!A209="","",'Data Table Input'!G209)</f>
        <v>14</v>
      </c>
    </row>
    <row r="217" spans="1:6">
      <c r="A217" s="139">
        <f>IF('Data Table Input'!A210="","",'Data Table Input'!A210)</f>
        <v>169</v>
      </c>
      <c r="B217" s="140">
        <f>IF('Data Table Input'!A210="","",'Data Table Input'!B210)</f>
        <v>66.228295164813005</v>
      </c>
      <c r="C217" s="140">
        <f>IF('Data Table Input'!A210="","",'Data Table Input'!C210)</f>
        <v>21.081121096058123</v>
      </c>
      <c r="D217" s="140" t="str">
        <f>IF('Data Table Input'!A210="","",'Data Table Input'!D210)</f>
        <v>Open</v>
      </c>
      <c r="E217" s="140" t="str">
        <f>IF('Data Table Input'!A210="","",'Data Table Input'!F210)</f>
        <v>Fully Open</v>
      </c>
      <c r="F217" s="140">
        <f>IF('Data Table Input'!A210="","",'Data Table Input'!G210)</f>
        <v>14.083333333333334</v>
      </c>
    </row>
    <row r="218" spans="1:6">
      <c r="A218" s="139">
        <f>IF('Data Table Input'!A211="","",'Data Table Input'!A211)</f>
        <v>170</v>
      </c>
      <c r="B218" s="140">
        <f>IF('Data Table Input'!A211="","",'Data Table Input'!B211)</f>
        <v>66.42394786629535</v>
      </c>
      <c r="C218" s="140">
        <f>IF('Data Table Input'!A211="","",'Data Table Input'!C211)</f>
        <v>21.14339928519852</v>
      </c>
      <c r="D218" s="140" t="str">
        <f>IF('Data Table Input'!A211="","",'Data Table Input'!D211)</f>
        <v>Open</v>
      </c>
      <c r="E218" s="140" t="str">
        <f>IF('Data Table Input'!A211="","",'Data Table Input'!F211)</f>
        <v>Fully Open</v>
      </c>
      <c r="F218" s="140">
        <f>IF('Data Table Input'!A211="","",'Data Table Input'!G211)</f>
        <v>14.166666666666666</v>
      </c>
    </row>
    <row r="219" spans="1:6">
      <c r="A219" s="139">
        <f>IF('Data Table Input'!A212="","",'Data Table Input'!A212)</f>
        <v>171</v>
      </c>
      <c r="B219" s="140">
        <f>IF('Data Table Input'!A212="","",'Data Table Input'!B212)</f>
        <v>66.619025959939222</v>
      </c>
      <c r="C219" s="140">
        <f>IF('Data Table Input'!A212="","",'Data Table Input'!C212)</f>
        <v>21.205494570983252</v>
      </c>
      <c r="D219" s="140" t="str">
        <f>IF('Data Table Input'!A212="","",'Data Table Input'!D212)</f>
        <v>Open</v>
      </c>
      <c r="E219" s="140" t="str">
        <f>IF('Data Table Input'!A212="","",'Data Table Input'!F212)</f>
        <v>Fully Open</v>
      </c>
      <c r="F219" s="140">
        <f>IF('Data Table Input'!A212="","",'Data Table Input'!G212)</f>
        <v>14.25</v>
      </c>
    </row>
    <row r="220" spans="1:6">
      <c r="A220" s="139">
        <f>IF('Data Table Input'!A213="","",'Data Table Input'!A213)</f>
        <v>172</v>
      </c>
      <c r="B220" s="140">
        <f>IF('Data Table Input'!A213="","",'Data Table Input'!B213)</f>
        <v>66.813534478859793</v>
      </c>
      <c r="C220" s="140">
        <f>IF('Data Table Input'!A213="","",'Data Table Input'!C213)</f>
        <v>21.267408555502634</v>
      </c>
      <c r="D220" s="140" t="str">
        <f>IF('Data Table Input'!A213="","",'Data Table Input'!D213)</f>
        <v>Open</v>
      </c>
      <c r="E220" s="140" t="str">
        <f>IF('Data Table Input'!A213="","",'Data Table Input'!F213)</f>
        <v>Fully Open</v>
      </c>
      <c r="F220" s="140">
        <f>IF('Data Table Input'!A213="","",'Data Table Input'!G213)</f>
        <v>14.333333333333334</v>
      </c>
    </row>
    <row r="221" spans="1:6">
      <c r="A221" s="139">
        <f>IF('Data Table Input'!A214="","",'Data Table Input'!A214)</f>
        <v>173</v>
      </c>
      <c r="B221" s="140">
        <f>IF('Data Table Input'!A214="","",'Data Table Input'!B214)</f>
        <v>67.007478383121679</v>
      </c>
      <c r="C221" s="140">
        <f>IF('Data Table Input'!A214="","",'Data Table Input'!C214)</f>
        <v>21.329142817594278</v>
      </c>
      <c r="D221" s="140" t="str">
        <f>IF('Data Table Input'!A214="","",'Data Table Input'!D214)</f>
        <v>Open</v>
      </c>
      <c r="E221" s="140" t="str">
        <f>IF('Data Table Input'!A214="","",'Data Table Input'!F214)</f>
        <v>Fully Open</v>
      </c>
      <c r="F221" s="140">
        <f>IF('Data Table Input'!A214="","",'Data Table Input'!G214)</f>
        <v>14.416666666666666</v>
      </c>
    </row>
    <row r="222" spans="1:6">
      <c r="A222" s="139">
        <f>IF('Data Table Input'!A215="","",'Data Table Input'!A215)</f>
        <v>174</v>
      </c>
      <c r="B222" s="140">
        <f>IF('Data Table Input'!A215="","",'Data Table Input'!B215)</f>
        <v>67.200862561214564</v>
      </c>
      <c r="C222" s="140">
        <f>IF('Data Table Input'!A215="","",'Data Table Input'!C215)</f>
        <v>21.390698913312768</v>
      </c>
      <c r="D222" s="140" t="str">
        <f>IF('Data Table Input'!A215="","",'Data Table Input'!D215)</f>
        <v>Open</v>
      </c>
      <c r="E222" s="140" t="str">
        <f>IF('Data Table Input'!A215="","",'Data Table Input'!F215)</f>
        <v>Fully Open</v>
      </c>
      <c r="F222" s="140">
        <f>IF('Data Table Input'!A215="","",'Data Table Input'!G215)</f>
        <v>14.5</v>
      </c>
    </row>
    <row r="223" spans="1:6">
      <c r="A223" s="139">
        <f>IF('Data Table Input'!A216="","",'Data Table Input'!A216)</f>
        <v>175</v>
      </c>
      <c r="B223" s="140">
        <f>IF('Data Table Input'!A216="","",'Data Table Input'!B216)</f>
        <v>67.393691831491026</v>
      </c>
      <c r="C223" s="140">
        <f>IF('Data Table Input'!A216="","",'Data Table Input'!C216)</f>
        <v>21.452078376387373</v>
      </c>
      <c r="D223" s="140" t="str">
        <f>IF('Data Table Input'!A216="","",'Data Table Input'!D216)</f>
        <v>Open</v>
      </c>
      <c r="E223" s="140" t="str">
        <f>IF('Data Table Input'!A216="","",'Data Table Input'!F216)</f>
        <v>Fully Open</v>
      </c>
      <c r="F223" s="140">
        <f>IF('Data Table Input'!A216="","",'Data Table Input'!G216)</f>
        <v>14.583333333333334</v>
      </c>
    </row>
    <row r="224" spans="1:6">
      <c r="A224" s="139">
        <f>IF('Data Table Input'!A217="","",'Data Table Input'!A217)</f>
        <v>176</v>
      </c>
      <c r="B224" s="140">
        <f>IF('Data Table Input'!A217="","",'Data Table Input'!B217)</f>
        <v>67.585970943567219</v>
      </c>
      <c r="C224" s="140">
        <f>IF('Data Table Input'!A217="","",'Data Table Input'!C217)</f>
        <v>21.513282718667867</v>
      </c>
      <c r="D224" s="140" t="str">
        <f>IF('Data Table Input'!A217="","",'Data Table Input'!D217)</f>
        <v>Open</v>
      </c>
      <c r="E224" s="140" t="str">
        <f>IF('Data Table Input'!A217="","",'Data Table Input'!F217)</f>
        <v>Fully Open</v>
      </c>
      <c r="F224" s="140">
        <f>IF('Data Table Input'!A217="","",'Data Table Input'!G217)</f>
        <v>14.666666666666666</v>
      </c>
    </row>
    <row r="225" spans="1:6">
      <c r="A225" s="139">
        <f>IF('Data Table Input'!A218="","",'Data Table Input'!A218)</f>
        <v>177</v>
      </c>
      <c r="B225" s="140">
        <f>IF('Data Table Input'!A218="","",'Data Table Input'!B218)</f>
        <v>67.777704579687878</v>
      </c>
      <c r="C225" s="140">
        <f>IF('Data Table Input'!A218="","",'Data Table Input'!C218)</f>
        <v>21.574313430559037</v>
      </c>
      <c r="D225" s="140" t="str">
        <f>IF('Data Table Input'!A218="","",'Data Table Input'!D218)</f>
        <v>Open</v>
      </c>
      <c r="E225" s="140" t="str">
        <f>IF('Data Table Input'!A218="","",'Data Table Input'!F218)</f>
        <v>Fully Open</v>
      </c>
      <c r="F225" s="140">
        <f>IF('Data Table Input'!A218="","",'Data Table Input'!G218)</f>
        <v>14.75</v>
      </c>
    </row>
    <row r="226" spans="1:6">
      <c r="A226" s="139">
        <f>IF('Data Table Input'!A219="","",'Data Table Input'!A219)</f>
        <v>178</v>
      </c>
      <c r="B226" s="140">
        <f>IF('Data Table Input'!A219="","",'Data Table Input'!B219)</f>
        <v>67.968897356056715</v>
      </c>
      <c r="C226" s="140">
        <f>IF('Data Table Input'!A219="","",'Data Table Input'!C219)</f>
        <v>21.635171981444163</v>
      </c>
      <c r="D226" s="140" t="str">
        <f>IF('Data Table Input'!A219="","",'Data Table Input'!D219)</f>
        <v>Open</v>
      </c>
      <c r="E226" s="140" t="str">
        <f>IF('Data Table Input'!A219="","",'Data Table Input'!F219)</f>
        <v>Fully Open</v>
      </c>
      <c r="F226" s="140">
        <f>IF('Data Table Input'!A219="","",'Data Table Input'!G219)</f>
        <v>14.833333333333334</v>
      </c>
    </row>
    <row r="227" spans="1:6">
      <c r="A227" s="139">
        <f>IF('Data Table Input'!A220="","",'Data Table Input'!A220)</f>
        <v>179</v>
      </c>
      <c r="B227" s="140">
        <f>IF('Data Table Input'!A220="","",'Data Table Input'!B220)</f>
        <v>68.159553824133155</v>
      </c>
      <c r="C227" s="140">
        <f>IF('Data Table Input'!A220="","",'Data Table Input'!C220)</f>
        <v>21.69585982009778</v>
      </c>
      <c r="D227" s="140" t="str">
        <f>IF('Data Table Input'!A220="","",'Data Table Input'!D220)</f>
        <v>Open</v>
      </c>
      <c r="E227" s="140" t="str">
        <f>IF('Data Table Input'!A220="","",'Data Table Input'!F220)</f>
        <v>Fully Open</v>
      </c>
      <c r="F227" s="140">
        <f>IF('Data Table Input'!A220="","",'Data Table Input'!G220)</f>
        <v>14.916666666666666</v>
      </c>
    </row>
    <row r="228" spans="1:6">
      <c r="A228" s="139">
        <f>IF('Data Table Input'!A221="","",'Data Table Input'!A221)</f>
        <v>180</v>
      </c>
      <c r="B228" s="140">
        <f>IF('Data Table Input'!A221="","",'Data Table Input'!B221)</f>
        <v>68.349678471896539</v>
      </c>
      <c r="C228" s="140">
        <f>IF('Data Table Input'!A221="","",'Data Table Input'!C221)</f>
        <v>21.756378375088076</v>
      </c>
      <c r="D228" s="140" t="str">
        <f>IF('Data Table Input'!A221="","",'Data Table Input'!D221)</f>
        <v>Open</v>
      </c>
      <c r="E228" s="140" t="str">
        <f>IF('Data Table Input'!A221="","",'Data Table Input'!F221)</f>
        <v>Fully Open</v>
      </c>
      <c r="F228" s="140">
        <f>IF('Data Table Input'!A221="","",'Data Table Input'!G221)</f>
        <v>15</v>
      </c>
    </row>
    <row r="229" spans="1:6">
      <c r="A229" s="139">
        <f>IF('Data Table Input'!A222="","",'Data Table Input'!A222)</f>
        <v>181</v>
      </c>
      <c r="B229" s="140">
        <f>IF('Data Table Input'!A222="","",'Data Table Input'!B222)</f>
        <v>68.539275725078738</v>
      </c>
      <c r="C229" s="140">
        <f>IF('Data Table Input'!A222="","",'Data Table Input'!C222)</f>
        <v>21.816729055169262</v>
      </c>
      <c r="D229" s="140" t="str">
        <f>IF('Data Table Input'!A222="","",'Data Table Input'!D222)</f>
        <v>Open</v>
      </c>
      <c r="E229" s="140" t="str">
        <f>IF('Data Table Input'!A222="","",'Data Table Input'!F222)</f>
        <v>Fully Open</v>
      </c>
      <c r="F229" s="140">
        <f>IF('Data Table Input'!A222="","",'Data Table Input'!G222)</f>
        <v>15.083333333333334</v>
      </c>
    </row>
    <row r="230" spans="1:6">
      <c r="A230" s="139">
        <f>IF('Data Table Input'!A223="","",'Data Table Input'!A223)</f>
        <v>182</v>
      </c>
      <c r="B230" s="140">
        <f>IF('Data Table Input'!A223="","",'Data Table Input'!B223)</f>
        <v>68.728349948366287</v>
      </c>
      <c r="C230" s="140">
        <f>IF('Data Table Input'!A223="","",'Data Table Input'!C223)</f>
        <v>21.876913249664209</v>
      </c>
      <c r="D230" s="140" t="str">
        <f>IF('Data Table Input'!A223="","",'Data Table Input'!D223)</f>
        <v>Open</v>
      </c>
      <c r="E230" s="140" t="str">
        <f>IF('Data Table Input'!A223="","",'Data Table Input'!F223)</f>
        <v>Fully Open</v>
      </c>
      <c r="F230" s="140">
        <f>IF('Data Table Input'!A223="","",'Data Table Input'!G223)</f>
        <v>15.166666666666666</v>
      </c>
    </row>
    <row r="231" spans="1:6">
      <c r="A231" s="139">
        <f>IF('Data Table Input'!A224="","",'Data Table Input'!A224)</f>
        <v>183</v>
      </c>
      <c r="B231" s="140">
        <f>IF('Data Table Input'!A224="","",'Data Table Input'!B224)</f>
        <v>68.916905446572628</v>
      </c>
      <c r="C231" s="140">
        <f>IF('Data Table Input'!A224="","",'Data Table Input'!C224)</f>
        <v>21.936932328837596</v>
      </c>
      <c r="D231" s="140" t="str">
        <f>IF('Data Table Input'!A224="","",'Data Table Input'!D224)</f>
        <v>Open</v>
      </c>
      <c r="E231" s="140" t="str">
        <f>IF('Data Table Input'!A224="","",'Data Table Input'!F224)</f>
        <v>Fully Open</v>
      </c>
      <c r="F231" s="140">
        <f>IF('Data Table Input'!A224="","",'Data Table Input'!G224)</f>
        <v>15.25</v>
      </c>
    </row>
    <row r="232" spans="1:6">
      <c r="A232" s="139">
        <f>IF('Data Table Input'!A225="","",'Data Table Input'!A225)</f>
        <v>184</v>
      </c>
      <c r="B232" s="140">
        <f>IF('Data Table Input'!A225="","",'Data Table Input'!B225)</f>
        <v>69.104946465781765</v>
      </c>
      <c r="C232" s="140">
        <f>IF('Data Table Input'!A225="","",'Data Table Input'!C225)</f>
        <v>21.996787644259943</v>
      </c>
      <c r="D232" s="140" t="str">
        <f>IF('Data Table Input'!A225="","",'Data Table Input'!D225)</f>
        <v>Open</v>
      </c>
      <c r="E232" s="140" t="str">
        <f>IF('Data Table Input'!A225="","",'Data Table Input'!F225)</f>
        <v>Fully Open</v>
      </c>
      <c r="F232" s="140">
        <f>IF('Data Table Input'!A225="","",'Data Table Input'!G225)</f>
        <v>15.333333333333334</v>
      </c>
    </row>
    <row r="233" spans="1:6">
      <c r="A233" s="139">
        <f>IF('Data Table Input'!A226="","",'Data Table Input'!A226)</f>
        <v>185</v>
      </c>
      <c r="B233" s="140">
        <f>IF('Data Table Input'!A226="","",'Data Table Input'!B226)</f>
        <v>69.292477194463856</v>
      </c>
      <c r="C233" s="140">
        <f>IF('Data Table Input'!A226="","",'Data Table Input'!C226)</f>
        <v>22.056480529162702</v>
      </c>
      <c r="D233" s="140" t="str">
        <f>IF('Data Table Input'!A226="","",'Data Table Input'!D226)</f>
        <v>Open</v>
      </c>
      <c r="E233" s="140" t="str">
        <f>IF('Data Table Input'!A226="","",'Data Table Input'!F226)</f>
        <v>Fully Open</v>
      </c>
      <c r="F233" s="140">
        <f>IF('Data Table Input'!A226="","",'Data Table Input'!G226)</f>
        <v>15.416666666666666</v>
      </c>
    </row>
    <row r="234" spans="1:6">
      <c r="A234" s="139">
        <f>IF('Data Table Input'!A227="","",'Data Table Input'!A227)</f>
        <v>186</v>
      </c>
      <c r="B234" s="140">
        <f>IF('Data Table Input'!A227="","",'Data Table Input'!B227)</f>
        <v>69.479501764563807</v>
      </c>
      <c r="C234" s="140">
        <f>IF('Data Table Input'!A227="","",'Data Table Input'!C227)</f>
        <v>22.116012298784788</v>
      </c>
      <c r="D234" s="140" t="str">
        <f>IF('Data Table Input'!A227="","",'Data Table Input'!D227)</f>
        <v>Open</v>
      </c>
      <c r="E234" s="140" t="str">
        <f>IF('Data Table Input'!A227="","",'Data Table Input'!F227)</f>
        <v>Fully Open</v>
      </c>
      <c r="F234" s="140">
        <f>IF('Data Table Input'!A227="","",'Data Table Input'!G227)</f>
        <v>15.5</v>
      </c>
    </row>
    <row r="235" spans="1:6">
      <c r="A235" s="139">
        <f>IF('Data Table Input'!A228="","",'Data Table Input'!A228)</f>
        <v>187</v>
      </c>
      <c r="B235" s="140">
        <f>IF('Data Table Input'!A228="","",'Data Table Input'!B228)</f>
        <v>69.666024252563432</v>
      </c>
      <c r="C235" s="140">
        <f>IF('Data Table Input'!A228="","",'Data Table Input'!C228)</f>
        <v>22.175384250710668</v>
      </c>
      <c r="D235" s="140" t="str">
        <f>IF('Data Table Input'!A228="","",'Data Table Input'!D228)</f>
        <v>Open</v>
      </c>
      <c r="E235" s="140" t="str">
        <f>IF('Data Table Input'!A228="","",'Data Table Input'!F228)</f>
        <v>Fully Open</v>
      </c>
      <c r="F235" s="140">
        <f>IF('Data Table Input'!A228="","",'Data Table Input'!G228)</f>
        <v>15.583333333333334</v>
      </c>
    </row>
    <row r="236" spans="1:6">
      <c r="A236" s="139">
        <f>IF('Data Table Input'!A229="","",'Data Table Input'!A229)</f>
        <v>188</v>
      </c>
      <c r="B236" s="140">
        <f>IF('Data Table Input'!A229="","",'Data Table Input'!B229)</f>
        <v>69.852048680518223</v>
      </c>
      <c r="C236" s="140">
        <f>IF('Data Table Input'!A229="","",'Data Table Input'!C229)</f>
        <v>22.234597665200361</v>
      </c>
      <c r="D236" s="140" t="str">
        <f>IF('Data Table Input'!A229="","",'Data Table Input'!D229)</f>
        <v>Open</v>
      </c>
      <c r="E236" s="140" t="str">
        <f>IF('Data Table Input'!A229="","",'Data Table Input'!F229)</f>
        <v>Fully Open</v>
      </c>
      <c r="F236" s="140">
        <f>IF('Data Table Input'!A229="","",'Data Table Input'!G229)</f>
        <v>15.666666666666666</v>
      </c>
    </row>
    <row r="237" spans="1:6">
      <c r="A237" s="139">
        <f>IF('Data Table Input'!A230="","",'Data Table Input'!A230)</f>
        <v>189</v>
      </c>
      <c r="B237" s="140">
        <f>IF('Data Table Input'!A230="","",'Data Table Input'!B230)</f>
        <v>70.037579017069248</v>
      </c>
      <c r="C237" s="140">
        <f>IF('Data Table Input'!A230="","",'Data Table Input'!C230)</f>
        <v>22.293653805511561</v>
      </c>
      <c r="D237" s="140" t="str">
        <f>IF('Data Table Input'!A230="","",'Data Table Input'!D230)</f>
        <v>Open</v>
      </c>
      <c r="E237" s="140" t="str">
        <f>IF('Data Table Input'!A230="","",'Data Table Input'!F230)</f>
        <v>Fully Open</v>
      </c>
      <c r="F237" s="140">
        <f>IF('Data Table Input'!A230="","",'Data Table Input'!G230)</f>
        <v>15.75</v>
      </c>
    </row>
    <row r="238" spans="1:6">
      <c r="A238" s="139">
        <f>IF('Data Table Input'!A231="","",'Data Table Input'!A231)</f>
        <v>190</v>
      </c>
      <c r="B238" s="140">
        <f>IF('Data Table Input'!A231="","",'Data Table Input'!B231)</f>
        <v>70.222619178431032</v>
      </c>
      <c r="C238" s="140">
        <f>IF('Data Table Input'!A231="","",'Data Table Input'!C231)</f>
        <v>22.35255391821406</v>
      </c>
      <c r="D238" s="140" t="str">
        <f>IF('Data Table Input'!A231="","",'Data Table Input'!D231)</f>
        <v>Open</v>
      </c>
      <c r="E238" s="140" t="str">
        <f>IF('Data Table Input'!A231="","",'Data Table Input'!F231)</f>
        <v>Fully Open</v>
      </c>
      <c r="F238" s="140">
        <f>IF('Data Table Input'!A231="","",'Data Table Input'!G231)</f>
        <v>15.833333333333334</v>
      </c>
    </row>
    <row r="239" spans="1:6">
      <c r="A239" s="139">
        <f>IF('Data Table Input'!A232="","",'Data Table Input'!A232)</f>
        <v>191</v>
      </c>
      <c r="B239" s="140">
        <f>IF('Data Table Input'!A232="","",'Data Table Input'!B232)</f>
        <v>70.407173029356045</v>
      </c>
      <c r="C239" s="140">
        <f>IF('Data Table Input'!A232="","",'Data Table Input'!C232)</f>
        <v>22.411299233496781</v>
      </c>
      <c r="D239" s="140" t="str">
        <f>IF('Data Table Input'!A232="","",'Data Table Input'!D232)</f>
        <v>Open</v>
      </c>
      <c r="E239" s="140" t="str">
        <f>IF('Data Table Input'!A232="","",'Data Table Input'!F232)</f>
        <v>Fully Open</v>
      </c>
      <c r="F239" s="140">
        <f>IF('Data Table Input'!A232="","",'Data Table Input'!G232)</f>
        <v>15.916666666666666</v>
      </c>
    </row>
    <row r="240" spans="1:6">
      <c r="A240" s="139">
        <f>IF('Data Table Input'!A233="","",'Data Table Input'!A233)</f>
        <v>192</v>
      </c>
      <c r="B240" s="140">
        <f>IF('Data Table Input'!A233="","",'Data Table Input'!B233)</f>
        <v>70.591244384076518</v>
      </c>
      <c r="C240" s="140">
        <f>IF('Data Table Input'!A233="","",'Data Table Input'!C233)</f>
        <v>22.469890965467549</v>
      </c>
      <c r="D240" s="140" t="str">
        <f>IF('Data Table Input'!A233="","",'Data Table Input'!D233)</f>
        <v>Open</v>
      </c>
      <c r="E240" s="140" t="str">
        <f>IF('Data Table Input'!A233="","",'Data Table Input'!F233)</f>
        <v>Fully Open</v>
      </c>
      <c r="F240" s="140">
        <f>IF('Data Table Input'!A233="","",'Data Table Input'!G233)</f>
        <v>16</v>
      </c>
    </row>
    <row r="241" spans="1:6">
      <c r="A241" s="139">
        <f>IF('Data Table Input'!A234="","",'Data Table Input'!A234)</f>
        <v>193</v>
      </c>
      <c r="B241" s="140">
        <f>IF('Data Table Input'!A234="","",'Data Table Input'!B234)</f>
        <v>70.774837007224136</v>
      </c>
      <c r="C241" s="140">
        <f>IF('Data Table Input'!A234="","",'Data Table Input'!C234)</f>
        <v>22.528330312445853</v>
      </c>
      <c r="D241" s="140" t="str">
        <f>IF('Data Table Input'!A234="","",'Data Table Input'!D234)</f>
        <v>Open</v>
      </c>
      <c r="E241" s="140" t="str">
        <f>IF('Data Table Input'!A234="","",'Data Table Input'!F234)</f>
        <v>Fully Open</v>
      </c>
      <c r="F241" s="140">
        <f>IF('Data Table Input'!A234="","",'Data Table Input'!G234)</f>
        <v>16.083333333333332</v>
      </c>
    </row>
    <row r="242" spans="1:6">
      <c r="A242" s="139">
        <f>IF('Data Table Input'!A235="","",'Data Table Input'!A235)</f>
        <v>194</v>
      </c>
      <c r="B242" s="140">
        <f>IF('Data Table Input'!A235="","",'Data Table Input'!B235)</f>
        <v>70.957954614728536</v>
      </c>
      <c r="C242" s="140">
        <f>IF('Data Table Input'!A235="","",'Data Table Input'!C235)</f>
        <v>22.586618457248825</v>
      </c>
      <c r="D242" s="140" t="str">
        <f>IF('Data Table Input'!A235="","",'Data Table Input'!D235)</f>
        <v>Open</v>
      </c>
      <c r="E242" s="140" t="str">
        <f>IF('Data Table Input'!A235="","",'Data Table Input'!F235)</f>
        <v>Fully Open</v>
      </c>
      <c r="F242" s="140">
        <f>IF('Data Table Input'!A235="","",'Data Table Input'!G235)</f>
        <v>16.166666666666668</v>
      </c>
    </row>
    <row r="243" spans="1:6">
      <c r="A243" s="139">
        <f>IF('Data Table Input'!A236="","",'Data Table Input'!A236)</f>
        <v>195</v>
      </c>
      <c r="B243" s="140">
        <f>IF('Data Table Input'!A236="","",'Data Table Input'!B236)</f>
        <v>71.140600874694655</v>
      </c>
      <c r="C243" s="140">
        <f>IF('Data Table Input'!A236="","",'Data Table Input'!C236)</f>
        <v>22.644756567470537</v>
      </c>
      <c r="D243" s="140" t="str">
        <f>IF('Data Table Input'!A236="","",'Data Table Input'!D236)</f>
        <v>Open</v>
      </c>
      <c r="E243" s="140" t="str">
        <f>IF('Data Table Input'!A236="","",'Data Table Input'!F236)</f>
        <v>Fully Open</v>
      </c>
      <c r="F243" s="140">
        <f>IF('Data Table Input'!A236="","",'Data Table Input'!G236)</f>
        <v>16.25</v>
      </c>
    </row>
    <row r="244" spans="1:6">
      <c r="A244" s="139">
        <f>IF('Data Table Input'!A237="","",'Data Table Input'!A237)</f>
        <v>196</v>
      </c>
      <c r="B244" s="140">
        <f>IF('Data Table Input'!A237="","",'Data Table Input'!B237)</f>
        <v>71.32277940826016</v>
      </c>
      <c r="C244" s="140">
        <f>IF('Data Table Input'!A237="","",'Data Table Input'!C237)</f>
        <v>22.7027457957549</v>
      </c>
      <c r="D244" s="140" t="str">
        <f>IF('Data Table Input'!A237="","",'Data Table Input'!D237)</f>
        <v>Open</v>
      </c>
      <c r="E244" s="140" t="str">
        <f>IF('Data Table Input'!A237="","",'Data Table Input'!F237)</f>
        <v>Fully Open</v>
      </c>
      <c r="F244" s="140">
        <f>IF('Data Table Input'!A237="","",'Data Table Input'!G237)</f>
        <v>16.333333333333332</v>
      </c>
    </row>
    <row r="245" spans="1:6">
      <c r="A245" s="139">
        <f>IF('Data Table Input'!A238="","",'Data Table Input'!A238)</f>
        <v>197</v>
      </c>
      <c r="B245" s="140">
        <f>IF('Data Table Input'!A238="","",'Data Table Input'!B238)</f>
        <v>71.504493790433003</v>
      </c>
      <c r="C245" s="140">
        <f>IF('Data Table Input'!A238="","",'Data Table Input'!C238)</f>
        <v>22.760587280062296</v>
      </c>
      <c r="D245" s="140" t="str">
        <f>IF('Data Table Input'!A238="","",'Data Table Input'!D238)</f>
        <v>Open</v>
      </c>
      <c r="E245" s="140" t="str">
        <f>IF('Data Table Input'!A238="","",'Data Table Input'!F238)</f>
        <v>Fully Open</v>
      </c>
      <c r="F245" s="140">
        <f>IF('Data Table Input'!A238="","",'Data Table Input'!G238)</f>
        <v>16.416666666666668</v>
      </c>
    </row>
    <row r="246" spans="1:6">
      <c r="A246" s="139">
        <f>IF('Data Table Input'!A239="","",'Data Table Input'!A239)</f>
        <v>198</v>
      </c>
      <c r="B246" s="140">
        <f>IF('Data Table Input'!A239="","",'Data Table Input'!B239)</f>
        <v>71.685747550910023</v>
      </c>
      <c r="C246" s="140">
        <f>IF('Data Table Input'!A239="","",'Data Table Input'!C239)</f>
        <v>22.818282143930119</v>
      </c>
      <c r="D246" s="140" t="str">
        <f>IF('Data Table Input'!A239="","",'Data Table Input'!D239)</f>
        <v>Open</v>
      </c>
      <c r="E246" s="140" t="str">
        <f>IF('Data Table Input'!A239="","",'Data Table Input'!F239)</f>
        <v>Fully Open</v>
      </c>
      <c r="F246" s="140">
        <f>IF('Data Table Input'!A239="","",'Data Table Input'!G239)</f>
        <v>16.5</v>
      </c>
    </row>
    <row r="247" spans="1:6">
      <c r="A247" s="139">
        <f>IF('Data Table Input'!A240="","",'Data Table Input'!A240)</f>
        <v>199</v>
      </c>
      <c r="B247" s="140">
        <f>IF('Data Table Input'!A240="","",'Data Table Input'!B240)</f>
        <v>71.866544174876893</v>
      </c>
      <c r="C247" s="140">
        <f>IF('Data Table Input'!A240="","",'Data Table Input'!C240)</f>
        <v>22.875831496727429</v>
      </c>
      <c r="D247" s="140" t="str">
        <f>IF('Data Table Input'!A240="","",'Data Table Input'!D240)</f>
        <v>Open</v>
      </c>
      <c r="E247" s="140" t="str">
        <f>IF('Data Table Input'!A240="","",'Data Table Input'!F240)</f>
        <v>Fully Open</v>
      </c>
      <c r="F247" s="140">
        <f>IF('Data Table Input'!A240="","",'Data Table Input'!G240)</f>
        <v>16.583333333333332</v>
      </c>
    </row>
    <row r="248" spans="1:6">
      <c r="A248" s="139">
        <f>IF('Data Table Input'!A241="","",'Data Table Input'!A241)</f>
        <v>200</v>
      </c>
      <c r="B248" s="140">
        <f>IF('Data Table Input'!A241="","",'Data Table Input'!B241)</f>
        <v>72.046887103790013</v>
      </c>
      <c r="C248" s="140">
        <f>IF('Data Table Input'!A241="","",'Data Table Input'!C241)</f>
        <v>22.933236433903815</v>
      </c>
      <c r="D248" s="140" t="str">
        <f>IF('Data Table Input'!A241="","",'Data Table Input'!D241)</f>
        <v>Open</v>
      </c>
      <c r="E248" s="140" t="str">
        <f>IF('Data Table Input'!A241="","",'Data Table Input'!F241)</f>
        <v>Fully Open</v>
      </c>
      <c r="F248" s="140">
        <f>IF('Data Table Input'!A241="","",'Data Table Input'!G241)</f>
        <v>16.666666666666668</v>
      </c>
    </row>
    <row r="249" spans="1:6">
      <c r="A249" s="139">
        <f>IF('Data Table Input'!A242="","",'Data Table Input'!A242)</f>
        <v>201</v>
      </c>
      <c r="B249" s="140">
        <f>IF('Data Table Input'!A242="","",'Data Table Input'!B242)</f>
        <v>72.226779736140756</v>
      </c>
      <c r="C249" s="140">
        <f>IF('Data Table Input'!A242="","",'Data Table Input'!C242)</f>
        <v>22.990498037232683</v>
      </c>
      <c r="D249" s="140" t="str">
        <f>IF('Data Table Input'!A242="","",'Data Table Input'!D242)</f>
        <v>Open</v>
      </c>
      <c r="E249" s="140" t="str">
        <f>IF('Data Table Input'!A242="","",'Data Table Input'!F242)</f>
        <v>Fully Open</v>
      </c>
      <c r="F249" s="140">
        <f>IF('Data Table Input'!A242="","",'Data Table Input'!G242)</f>
        <v>16.75</v>
      </c>
    </row>
    <row r="250" spans="1:6">
      <c r="A250" s="139">
        <f>IF('Data Table Input'!A243="","",'Data Table Input'!A243)</f>
        <v>202</v>
      </c>
      <c r="B250" s="140">
        <f>IF('Data Table Input'!A243="","",'Data Table Input'!B243)</f>
        <v>72.406225428202816</v>
      </c>
      <c r="C250" s="140">
        <f>IF('Data Table Input'!A243="","",'Data Table Input'!C243)</f>
        <v>23.047617375049128</v>
      </c>
      <c r="D250" s="140" t="str">
        <f>IF('Data Table Input'!A243="","",'Data Table Input'!D243)</f>
        <v>Open</v>
      </c>
      <c r="E250" s="140" t="str">
        <f>IF('Data Table Input'!A243="","",'Data Table Input'!F243)</f>
        <v>Fully Open</v>
      </c>
      <c r="F250" s="140">
        <f>IF('Data Table Input'!A243="","",'Data Table Input'!G243)</f>
        <v>16.833333333333332</v>
      </c>
    </row>
    <row r="251" spans="1:6">
      <c r="A251" s="139">
        <f>IF('Data Table Input'!A244="","",'Data Table Input'!A244)</f>
        <v>203</v>
      </c>
      <c r="B251" s="140">
        <f>IF('Data Table Input'!A244="","",'Data Table Input'!B244)</f>
        <v>72.585227494762719</v>
      </c>
      <c r="C251" s="140">
        <f>IF('Data Table Input'!A244="","",'Data Table Input'!C244)</f>
        <v>23.104595502482475</v>
      </c>
      <c r="D251" s="140" t="str">
        <f>IF('Data Table Input'!A244="","",'Data Table Input'!D244)</f>
        <v>Open</v>
      </c>
      <c r="E251" s="140" t="str">
        <f>IF('Data Table Input'!A244="","",'Data Table Input'!F244)</f>
        <v>Fully Open</v>
      </c>
      <c r="F251" s="140">
        <f>IF('Data Table Input'!A244="","",'Data Table Input'!G244)</f>
        <v>16.916666666666668</v>
      </c>
    </row>
    <row r="252" spans="1:6">
      <c r="A252" s="139">
        <f>IF('Data Table Input'!A245="","",'Data Table Input'!A245)</f>
        <v>204</v>
      </c>
      <c r="B252" s="140">
        <f>IF('Data Table Input'!A245="","",'Data Table Input'!B245)</f>
        <v>72.763789209834243</v>
      </c>
      <c r="C252" s="140">
        <f>IF('Data Table Input'!A245="","",'Data Table Input'!C245)</f>
        <v>23.161433461683675</v>
      </c>
      <c r="D252" s="140" t="str">
        <f>IF('Data Table Input'!A245="","",'Data Table Input'!D245)</f>
        <v>Open</v>
      </c>
      <c r="E252" s="140" t="str">
        <f>IF('Data Table Input'!A245="","",'Data Table Input'!F245)</f>
        <v>Fully Open</v>
      </c>
      <c r="F252" s="140">
        <f>IF('Data Table Input'!A245="","",'Data Table Input'!G245)</f>
        <v>17</v>
      </c>
    </row>
    <row r="253" spans="1:6">
      <c r="A253" s="139">
        <f>IF('Data Table Input'!A246="","",'Data Table Input'!A246)</f>
        <v>205</v>
      </c>
      <c r="B253" s="140">
        <f>IF('Data Table Input'!A246="","",'Data Table Input'!B246)</f>
        <v>72.941913807357153</v>
      </c>
      <c r="C253" s="140">
        <f>IF('Data Table Input'!A246="","",'Data Table Input'!C246)</f>
        <v>23.218132282047726</v>
      </c>
      <c r="D253" s="140" t="str">
        <f>IF('Data Table Input'!A246="","",'Data Table Input'!D246)</f>
        <v>Open</v>
      </c>
      <c r="E253" s="140" t="str">
        <f>IF('Data Table Input'!A246="","",'Data Table Input'!F246)</f>
        <v>Fully Open</v>
      </c>
      <c r="F253" s="140">
        <f>IF('Data Table Input'!A246="","",'Data Table Input'!G246)</f>
        <v>17.083333333333332</v>
      </c>
    </row>
    <row r="254" spans="1:6">
      <c r="A254" s="139">
        <f>IF('Data Table Input'!A247="","",'Data Table Input'!A247)</f>
        <v>206</v>
      </c>
      <c r="B254" s="140">
        <f>IF('Data Table Input'!A247="","",'Data Table Input'!B247)</f>
        <v>73.119604481880586</v>
      </c>
      <c r="C254" s="140">
        <f>IF('Data Table Input'!A247="","",'Data Table Input'!C247)</f>
        <v>23.274692980431201</v>
      </c>
      <c r="D254" s="140" t="str">
        <f>IF('Data Table Input'!A247="","",'Data Table Input'!D247)</f>
        <v>Open</v>
      </c>
      <c r="E254" s="140" t="str">
        <f>IF('Data Table Input'!A247="","",'Data Table Input'!F247)</f>
        <v>Fully Open</v>
      </c>
      <c r="F254" s="140">
        <f>IF('Data Table Input'!A247="","",'Data Table Input'!G247)</f>
        <v>17.166666666666668</v>
      </c>
    </row>
    <row r="255" spans="1:6">
      <c r="A255" s="139">
        <f>IF('Data Table Input'!A248="","",'Data Table Input'!A248)</f>
        <v>207</v>
      </c>
      <c r="B255" s="140">
        <f>IF('Data Table Input'!A248="","",'Data Table Input'!B248)</f>
        <v>73.296864389231416</v>
      </c>
      <c r="C255" s="140">
        <f>IF('Data Table Input'!A248="","",'Data Table Input'!C248)</f>
        <v>23.331116561364993</v>
      </c>
      <c r="D255" s="140" t="str">
        <f>IF('Data Table Input'!A248="","",'Data Table Input'!D248)</f>
        <v>Open</v>
      </c>
      <c r="E255" s="140" t="str">
        <f>IF('Data Table Input'!A248="","",'Data Table Input'!F248)</f>
        <v>Fully Open</v>
      </c>
      <c r="F255" s="140">
        <f>IF('Data Table Input'!A248="","",'Data Table Input'!G248)</f>
        <v>17.25</v>
      </c>
    </row>
    <row r="256" spans="1:6">
      <c r="A256" s="139">
        <f>IF('Data Table Input'!A249="","",'Data Table Input'!A249)</f>
        <v>208</v>
      </c>
      <c r="B256" s="140">
        <f>IF('Data Table Input'!A249="","",'Data Table Input'!B249)</f>
        <v>73.47369664716831</v>
      </c>
      <c r="C256" s="140">
        <f>IF('Data Table Input'!A249="","",'Data Table Input'!C249)</f>
        <v>23.387404017262508</v>
      </c>
      <c r="D256" s="140" t="str">
        <f>IF('Data Table Input'!A249="","",'Data Table Input'!D249)</f>
        <v>Open</v>
      </c>
      <c r="E256" s="140" t="str">
        <f>IF('Data Table Input'!A249="","",'Data Table Input'!F249)</f>
        <v>Fully Open</v>
      </c>
      <c r="F256" s="140">
        <f>IF('Data Table Input'!A249="","",'Data Table Input'!G249)</f>
        <v>17.333333333333332</v>
      </c>
    </row>
    <row r="257" spans="1:6">
      <c r="A257" s="139">
        <f>IF('Data Table Input'!A250="","",'Data Table Input'!A250)</f>
        <v>209</v>
      </c>
      <c r="B257" s="140">
        <f>IF('Data Table Input'!A250="","",'Data Table Input'!B250)</f>
        <v>73.650104336021457</v>
      </c>
      <c r="C257" s="140">
        <f>IF('Data Table Input'!A250="","",'Data Table Input'!C250)</f>
        <v>23.443556328623298</v>
      </c>
      <c r="D257" s="140" t="str">
        <f>IF('Data Table Input'!A250="","",'Data Table Input'!D250)</f>
        <v>Open</v>
      </c>
      <c r="E257" s="140" t="str">
        <f>IF('Data Table Input'!A250="","",'Data Table Input'!F250)</f>
        <v>Fully Open</v>
      </c>
      <c r="F257" s="140">
        <f>IF('Data Table Input'!A250="","",'Data Table Input'!G250)</f>
        <v>17.416666666666668</v>
      </c>
    </row>
    <row r="258" spans="1:6">
      <c r="A258" s="139">
        <f>IF('Data Table Input'!A251="","",'Data Table Input'!A251)</f>
        <v>210</v>
      </c>
      <c r="B258" s="140">
        <f>IF('Data Table Input'!A251="","",'Data Table Input'!B251)</f>
        <v>73.826090499318582</v>
      </c>
      <c r="C258" s="140">
        <f>IF('Data Table Input'!A251="","",'Data Table Input'!C251)</f>
        <v>23.499574464232328</v>
      </c>
      <c r="D258" s="140" t="str">
        <f>IF('Data Table Input'!A251="","",'Data Table Input'!D251)</f>
        <v>Open</v>
      </c>
      <c r="E258" s="140" t="str">
        <f>IF('Data Table Input'!A251="","",'Data Table Input'!F251)</f>
        <v>Fully Open</v>
      </c>
      <c r="F258" s="140">
        <f>IF('Data Table Input'!A251="","",'Data Table Input'!G251)</f>
        <v>17.5</v>
      </c>
    </row>
    <row r="259" spans="1:6">
      <c r="A259" s="139">
        <f>IF('Data Table Input'!A252="","",'Data Table Input'!A252)</f>
        <v>211</v>
      </c>
      <c r="B259" s="140">
        <f>IF('Data Table Input'!A252="","",'Data Table Input'!B252)</f>
        <v>74.001658144397737</v>
      </c>
      <c r="C259" s="140">
        <f>IF('Data Table Input'!A252="","",'Data Table Input'!C252)</f>
        <v>23.555459381355032</v>
      </c>
      <c r="D259" s="140" t="str">
        <f>IF('Data Table Input'!A252="","",'Data Table Input'!D252)</f>
        <v>Open</v>
      </c>
      <c r="E259" s="140" t="str">
        <f>IF('Data Table Input'!A252="","",'Data Table Input'!F252)</f>
        <v>Fully Open</v>
      </c>
      <c r="F259" s="140">
        <f>IF('Data Table Input'!A252="","",'Data Table Input'!G252)</f>
        <v>17.583333333333332</v>
      </c>
    </row>
    <row r="260" spans="1:6">
      <c r="A260" s="139">
        <f>IF('Data Table Input'!A253="","",'Data Table Input'!A253)</f>
        <v>212</v>
      </c>
      <c r="B260" s="140">
        <f>IF('Data Table Input'!A253="","",'Data Table Input'!B253)</f>
        <v>74.176810243006813</v>
      </c>
      <c r="C260" s="140">
        <f>IF('Data Table Input'!A253="","",'Data Table Input'!C253)</f>
        <v>23.611212025928136</v>
      </c>
      <c r="D260" s="140" t="str">
        <f>IF('Data Table Input'!A253="","",'Data Table Input'!D253)</f>
        <v>Open</v>
      </c>
      <c r="E260" s="140" t="str">
        <f>IF('Data Table Input'!A253="","",'Data Table Input'!F253)</f>
        <v>Fully Open</v>
      </c>
      <c r="F260" s="140">
        <f>IF('Data Table Input'!A253="","",'Data Table Input'!G253)</f>
        <v>17.666666666666668</v>
      </c>
    </row>
    <row r="261" spans="1:6">
      <c r="A261" s="139">
        <f>IF('Data Table Input'!A254="","",'Data Table Input'!A254)</f>
        <v>213</v>
      </c>
      <c r="B261" s="140">
        <f>IF('Data Table Input'!A254="","",'Data Table Input'!B254)</f>
        <v>74.351549731890401</v>
      </c>
      <c r="C261" s="140">
        <f>IF('Data Table Input'!A254="","",'Data Table Input'!C254)</f>
        <v>23.666833332746485</v>
      </c>
      <c r="D261" s="140" t="str">
        <f>IF('Data Table Input'!A254="","",'Data Table Input'!D254)</f>
        <v>Open</v>
      </c>
      <c r="E261" s="140" t="str">
        <f>IF('Data Table Input'!A254="","",'Data Table Input'!F254)</f>
        <v>Fully Open</v>
      </c>
      <c r="F261" s="140">
        <f>IF('Data Table Input'!A254="","",'Data Table Input'!G254)</f>
        <v>17.75</v>
      </c>
    </row>
    <row r="262" spans="1:6">
      <c r="A262" s="139">
        <f>IF('Data Table Input'!A255="","",'Data Table Input'!A255)</f>
        <v>214</v>
      </c>
      <c r="B262" s="140">
        <f>IF('Data Table Input'!A255="","",'Data Table Input'!B255)</f>
        <v>74.525879513364359</v>
      </c>
      <c r="C262" s="140">
        <f>IF('Data Table Input'!A255="","",'Data Table Input'!C255)</f>
        <v>23.722324225645906</v>
      </c>
      <c r="D262" s="140" t="str">
        <f>IF('Data Table Input'!A255="","",'Data Table Input'!D255)</f>
        <v>Open</v>
      </c>
      <c r="E262" s="140" t="str">
        <f>IF('Data Table Input'!A255="","",'Data Table Input'!F255)</f>
        <v>Fully Open</v>
      </c>
      <c r="F262" s="140">
        <f>IF('Data Table Input'!A255="","",'Data Table Input'!G255)</f>
        <v>17.833333333333332</v>
      </c>
    </row>
    <row r="263" spans="1:6">
      <c r="A263" s="139">
        <f>IF('Data Table Input'!A256="","",'Data Table Input'!A256)</f>
        <v>215</v>
      </c>
      <c r="B263" s="140">
        <f>IF('Data Table Input'!A256="","",'Data Table Input'!B256)</f>
        <v>74.699802455878242</v>
      </c>
      <c r="C263" s="140">
        <f>IF('Data Table Input'!A256="","",'Data Table Input'!C256)</f>
        <v>23.777685617682252</v>
      </c>
      <c r="D263" s="140" t="str">
        <f>IF('Data Table Input'!A256="","",'Data Table Input'!D256)</f>
        <v>Open</v>
      </c>
      <c r="E263" s="140" t="str">
        <f>IF('Data Table Input'!A256="","",'Data Table Input'!F256)</f>
        <v>Fully Open</v>
      </c>
      <c r="F263" s="140">
        <f>IF('Data Table Input'!A256="","",'Data Table Input'!G256)</f>
        <v>17.916666666666668</v>
      </c>
    </row>
    <row r="264" spans="1:6">
      <c r="A264" s="139">
        <f>IF('Data Table Input'!A257="","",'Data Table Input'!A257)</f>
        <v>216</v>
      </c>
      <c r="B264" s="140">
        <f>IF('Data Table Input'!A257="","",'Data Table Input'!B257)</f>
        <v>74.873321394565934</v>
      </c>
      <c r="C264" s="140">
        <f>IF('Data Table Input'!A257="","",'Data Table Input'!C257)</f>
        <v>23.832918411306661</v>
      </c>
      <c r="D264" s="140" t="str">
        <f>IF('Data Table Input'!A257="","",'Data Table Input'!D257)</f>
        <v>Open</v>
      </c>
      <c r="E264" s="140" t="str">
        <f>IF('Data Table Input'!A257="","",'Data Table Input'!F257)</f>
        <v>Fully Open</v>
      </c>
      <c r="F264" s="140">
        <f>IF('Data Table Input'!A257="","",'Data Table Input'!G257)</f>
        <v>18</v>
      </c>
    </row>
    <row r="265" spans="1:6">
      <c r="A265" s="139">
        <f>IF('Data Table Input'!A258="","",'Data Table Input'!A258)</f>
        <v>217</v>
      </c>
      <c r="B265" s="140">
        <f>IF('Data Table Input'!A258="","",'Data Table Input'!B258)</f>
        <v>75.046439131784894</v>
      </c>
      <c r="C265" s="140">
        <f>IF('Data Table Input'!A258="","",'Data Table Input'!C258)</f>
        <v>23.888023498537226</v>
      </c>
      <c r="D265" s="140" t="str">
        <f>IF('Data Table Input'!A258="","",'Data Table Input'!D258)</f>
        <v>Open</v>
      </c>
      <c r="E265" s="140" t="str">
        <f>IF('Data Table Input'!A258="","",'Data Table Input'!F258)</f>
        <v>Fully Open</v>
      </c>
      <c r="F265" s="140">
        <f>IF('Data Table Input'!A258="","",'Data Table Input'!G258)</f>
        <v>18.083333333333332</v>
      </c>
    </row>
    <row r="266" spans="1:6">
      <c r="A266" s="139">
        <f>IF('Data Table Input'!A259="","",'Data Table Input'!A259)</f>
        <v>218</v>
      </c>
      <c r="B266" s="140">
        <f>IF('Data Table Input'!A259="","",'Data Table Input'!B259)</f>
        <v>75.219158437644239</v>
      </c>
      <c r="C266" s="140">
        <f>IF('Data Table Input'!A259="","",'Data Table Input'!C259)</f>
        <v>23.943001761127057</v>
      </c>
      <c r="D266" s="140" t="str">
        <f>IF('Data Table Input'!A259="","",'Data Table Input'!D259)</f>
        <v>Open</v>
      </c>
      <c r="E266" s="140" t="str">
        <f>IF('Data Table Input'!A259="","",'Data Table Input'!F259)</f>
        <v>Fully Open</v>
      </c>
      <c r="F266" s="140">
        <f>IF('Data Table Input'!A259="","",'Data Table Input'!G259)</f>
        <v>18.166666666666668</v>
      </c>
    </row>
    <row r="267" spans="1:6">
      <c r="A267" s="139">
        <f>IF('Data Table Input'!A260="","",'Data Table Input'!A260)</f>
        <v>219</v>
      </c>
      <c r="B267" s="140">
        <f>IF('Data Table Input'!A260="","",'Data Table Input'!B260)</f>
        <v>75.391482050521844</v>
      </c>
      <c r="C267" s="140">
        <f>IF('Data Table Input'!A260="","",'Data Table Input'!C260)</f>
        <v>23.997854070728906</v>
      </c>
      <c r="D267" s="140" t="str">
        <f>IF('Data Table Input'!A260="","",'Data Table Input'!D260)</f>
        <v>Open</v>
      </c>
      <c r="E267" s="140" t="str">
        <f>IF('Data Table Input'!A260="","",'Data Table Input'!F260)</f>
        <v>Fully Open</v>
      </c>
      <c r="F267" s="140">
        <f>IF('Data Table Input'!A260="","",'Data Table Input'!G260)</f>
        <v>18.25</v>
      </c>
    </row>
    <row r="268" spans="1:6">
      <c r="A268" s="139">
        <f>IF('Data Table Input'!A261="","",'Data Table Input'!A261)</f>
        <v>220</v>
      </c>
      <c r="B268" s="140">
        <f>IF('Data Table Input'!A261="","",'Data Table Input'!B261)</f>
        <v>75.563412677570952</v>
      </c>
      <c r="C268" s="140">
        <f>IF('Data Table Input'!A261="","",'Data Table Input'!C261)</f>
        <v>24.052581289056416</v>
      </c>
      <c r="D268" s="140" t="str">
        <f>IF('Data Table Input'!A261="","",'Data Table Input'!D261)</f>
        <v>Open</v>
      </c>
      <c r="E268" s="140" t="str">
        <f>IF('Data Table Input'!A261="","",'Data Table Input'!F261)</f>
        <v>Fully Open</v>
      </c>
      <c r="F268" s="140">
        <f>IF('Data Table Input'!A261="","",'Data Table Input'!G261)</f>
        <v>18.333333333333332</v>
      </c>
    </row>
    <row r="269" spans="1:6">
      <c r="A269" s="139">
        <f>IF('Data Table Input'!A262="","",'Data Table Input'!A262)</f>
        <v>221</v>
      </c>
      <c r="B269" s="140">
        <f>IF('Data Table Input'!A262="","",'Data Table Input'!B262)</f>
        <v>75.73495299521629</v>
      </c>
      <c r="C269" s="140">
        <f>IF('Data Table Input'!A262="","",'Data Table Input'!C262)</f>
        <v>24.107184268042033</v>
      </c>
      <c r="D269" s="140" t="str">
        <f>IF('Data Table Input'!A262="","",'Data Table Input'!D262)</f>
        <v>Open</v>
      </c>
      <c r="E269" s="140" t="str">
        <f>IF('Data Table Input'!A262="","",'Data Table Input'!F262)</f>
        <v>Fully Open</v>
      </c>
      <c r="F269" s="140">
        <f>IF('Data Table Input'!A262="","",'Data Table Input'!G262)</f>
        <v>18.416666666666668</v>
      </c>
    </row>
    <row r="270" spans="1:6">
      <c r="A270" s="139">
        <f>IF('Data Table Input'!A263="","",'Data Table Input'!A263)</f>
        <v>222</v>
      </c>
      <c r="B270" s="140">
        <f>IF('Data Table Input'!A263="","",'Data Table Input'!B263)</f>
        <v>75.906105649640281</v>
      </c>
      <c r="C270" s="140">
        <f>IF('Data Table Input'!A263="","",'Data Table Input'!C263)</f>
        <v>24.16166384999179</v>
      </c>
      <c r="D270" s="140" t="str">
        <f>IF('Data Table Input'!A263="","",'Data Table Input'!D263)</f>
        <v>Open</v>
      </c>
      <c r="E270" s="140" t="str">
        <f>IF('Data Table Input'!A263="","",'Data Table Input'!F263)</f>
        <v>Fully Open</v>
      </c>
      <c r="F270" s="140">
        <f>IF('Data Table Input'!A263="","",'Data Table Input'!G263)</f>
        <v>18.5</v>
      </c>
    </row>
    <row r="271" spans="1:6">
      <c r="A271" s="139">
        <f>IF('Data Table Input'!A264="","",'Data Table Input'!A264)</f>
        <v>223</v>
      </c>
      <c r="B271" s="140">
        <f>IF('Data Table Input'!A264="","",'Data Table Input'!B264)</f>
        <v>76.076873257259223</v>
      </c>
      <c r="C271" s="140">
        <f>IF('Data Table Input'!A264="","",'Data Table Input'!C264)</f>
        <v>24.216020867736852</v>
      </c>
      <c r="D271" s="140" t="str">
        <f>IF('Data Table Input'!A264="","",'Data Table Input'!D264)</f>
        <v>Open</v>
      </c>
      <c r="E271" s="140" t="str">
        <f>IF('Data Table Input'!A264="","",'Data Table Input'!F264)</f>
        <v>Fully Open</v>
      </c>
      <c r="F271" s="140">
        <f>IF('Data Table Input'!A264="","",'Data Table Input'!G264)</f>
        <v>18.583333333333332</v>
      </c>
    </row>
    <row r="272" spans="1:6">
      <c r="A272" s="139">
        <f>IF('Data Table Input'!A265="","",'Data Table Input'!A265)</f>
        <v>224</v>
      </c>
      <c r="B272" s="140">
        <f>IF('Data Table Input'!A265="","",'Data Table Input'!B265)</f>
        <v>76.247258405189982</v>
      </c>
      <c r="C272" s="140">
        <f>IF('Data Table Input'!A265="","",'Data Table Input'!C265)</f>
        <v>24.270256144782099</v>
      </c>
      <c r="D272" s="140" t="str">
        <f>IF('Data Table Input'!A265="","",'Data Table Input'!D265)</f>
        <v>Open</v>
      </c>
      <c r="E272" s="140" t="str">
        <f>IF('Data Table Input'!A265="","",'Data Table Input'!F265)</f>
        <v>Fully Open</v>
      </c>
      <c r="F272" s="140">
        <f>IF('Data Table Input'!A265="","",'Data Table Input'!G265)</f>
        <v>18.666666666666668</v>
      </c>
    </row>
    <row r="273" spans="1:6">
      <c r="A273" s="139">
        <f>IF('Data Table Input'!A266="","",'Data Table Input'!A266)</f>
        <v>225</v>
      </c>
      <c r="B273" s="140">
        <f>IF('Data Table Input'!A266="","",'Data Table Input'!B266)</f>
        <v>76.417263651707302</v>
      </c>
      <c r="C273" s="140">
        <f>IF('Data Table Input'!A266="","",'Data Table Input'!C266)</f>
        <v>24.324370495451674</v>
      </c>
      <c r="D273" s="140" t="str">
        <f>IF('Data Table Input'!A266="","",'Data Table Input'!D266)</f>
        <v>Open</v>
      </c>
      <c r="E273" s="140" t="str">
        <f>IF('Data Table Input'!A266="","",'Data Table Input'!F266)</f>
        <v>Fully Open</v>
      </c>
      <c r="F273" s="140">
        <f>IF('Data Table Input'!A266="","",'Data Table Input'!G266)</f>
        <v>18.75</v>
      </c>
    </row>
    <row r="274" spans="1:6">
      <c r="A274" s="139">
        <f>IF('Data Table Input'!A267="","",'Data Table Input'!A267)</f>
        <v>226</v>
      </c>
      <c r="B274" s="140">
        <f>IF('Data Table Input'!A267="","",'Data Table Input'!B267)</f>
        <v>76.586891526691943</v>
      </c>
      <c r="C274" s="140">
        <f>IF('Data Table Input'!A267="","",'Data Table Input'!C267)</f>
        <v>24.378364725031634</v>
      </c>
      <c r="D274" s="140" t="str">
        <f>IF('Data Table Input'!A267="","",'Data Table Input'!D267)</f>
        <v>Open</v>
      </c>
      <c r="E274" s="140" t="str">
        <f>IF('Data Table Input'!A267="","",'Data Table Input'!F267)</f>
        <v>Fully Open</v>
      </c>
      <c r="F274" s="140">
        <f>IF('Data Table Input'!A267="","",'Data Table Input'!G267)</f>
        <v>18.833333333333332</v>
      </c>
    </row>
    <row r="275" spans="1:6">
      <c r="A275" s="139">
        <f>IF('Data Table Input'!A268="","",'Data Table Input'!A268)</f>
        <v>227</v>
      </c>
      <c r="B275" s="140">
        <f>IF('Data Table Input'!A268="","",'Data Table Input'!B268)</f>
        <v>76.756144532069939</v>
      </c>
      <c r="C275" s="140">
        <f>IF('Data Table Input'!A268="","",'Data Table Input'!C268)</f>
        <v>24.43223962990977</v>
      </c>
      <c r="D275" s="140" t="str">
        <f>IF('Data Table Input'!A268="","",'Data Table Input'!D268)</f>
        <v>Open</v>
      </c>
      <c r="E275" s="140" t="str">
        <f>IF('Data Table Input'!A268="","",'Data Table Input'!F268)</f>
        <v>Fully Open</v>
      </c>
      <c r="F275" s="140">
        <f>IF('Data Table Input'!A268="","",'Data Table Input'!G268)</f>
        <v>18.916666666666668</v>
      </c>
    </row>
    <row r="276" spans="1:6">
      <c r="A276" s="139">
        <f>IF('Data Table Input'!A269="","",'Data Table Input'!A269)</f>
        <v>228</v>
      </c>
      <c r="B276" s="140">
        <f>IF('Data Table Input'!A269="","",'Data Table Input'!B269)</f>
        <v>76.925025142243143</v>
      </c>
      <c r="C276" s="140">
        <f>IF('Data Table Input'!A269="","",'Data Table Input'!C269)</f>
        <v>24.485995997712653</v>
      </c>
      <c r="D276" s="140" t="str">
        <f>IF('Data Table Input'!A269="","",'Data Table Input'!D269)</f>
        <v>Open</v>
      </c>
      <c r="E276" s="140" t="str">
        <f>IF('Data Table Input'!A269="","",'Data Table Input'!F269)</f>
        <v>Fully Open</v>
      </c>
      <c r="F276" s="140">
        <f>IF('Data Table Input'!A269="","",'Data Table Input'!G269)</f>
        <v>19</v>
      </c>
    </row>
    <row r="277" spans="1:6">
      <c r="A277" s="139">
        <f>IF('Data Table Input'!A270="","",'Data Table Input'!A270)</f>
        <v>229</v>
      </c>
      <c r="B277" s="140">
        <f>IF('Data Table Input'!A270="","",'Data Table Input'!B270)</f>
        <v>77.093535804511333</v>
      </c>
      <c r="C277" s="140">
        <f>IF('Data Table Input'!A270="","",'Data Table Input'!C270)</f>
        <v>24.539634607439993</v>
      </c>
      <c r="D277" s="140" t="str">
        <f>IF('Data Table Input'!A270="","",'Data Table Input'!D270)</f>
        <v>Open</v>
      </c>
      <c r="E277" s="140" t="str">
        <f>IF('Data Table Input'!A270="","",'Data Table Input'!F270)</f>
        <v>Fully Open</v>
      </c>
      <c r="F277" s="140">
        <f>IF('Data Table Input'!A270="","",'Data Table Input'!G270)</f>
        <v>19.083333333333332</v>
      </c>
    </row>
    <row r="278" spans="1:6">
      <c r="A278" s="139">
        <f>IF('Data Table Input'!A271="","",'Data Table Input'!A271)</f>
        <v>230</v>
      </c>
      <c r="B278" s="140">
        <f>IF('Data Table Input'!A271="","",'Data Table Input'!B271)</f>
        <v>77.261678939485932</v>
      </c>
      <c r="C278" s="140">
        <f>IF('Data Table Input'!A271="","",'Data Table Input'!C271)</f>
        <v>24.593156229596346</v>
      </c>
      <c r="D278" s="140" t="str">
        <f>IF('Data Table Input'!A271="","",'Data Table Input'!D271)</f>
        <v>Open</v>
      </c>
      <c r="E278" s="140" t="str">
        <f>IF('Data Table Input'!A271="","",'Data Table Input'!F271)</f>
        <v>Fully Open</v>
      </c>
      <c r="F278" s="140">
        <f>IF('Data Table Input'!A271="","",'Data Table Input'!G271)</f>
        <v>19.166666666666668</v>
      </c>
    </row>
    <row r="279" spans="1:6">
      <c r="A279" s="139">
        <f>IF('Data Table Input'!A272="","",'Data Table Input'!A272)</f>
        <v>231</v>
      </c>
      <c r="B279" s="140">
        <f>IF('Data Table Input'!A272="","",'Data Table Input'!B272)</f>
        <v>77.429456941495687</v>
      </c>
      <c r="C279" s="140">
        <f>IF('Data Table Input'!A272="","",'Data Table Input'!C272)</f>
        <v>24.646561626320214</v>
      </c>
      <c r="D279" s="140" t="str">
        <f>IF('Data Table Input'!A272="","",'Data Table Input'!D272)</f>
        <v>Open</v>
      </c>
      <c r="E279" s="140" t="str">
        <f>IF('Data Table Input'!A272="","",'Data Table Input'!F272)</f>
        <v>Fully Open</v>
      </c>
      <c r="F279" s="140">
        <f>IF('Data Table Input'!A272="","",'Data Table Input'!G272)</f>
        <v>19.25</v>
      </c>
    </row>
    <row r="280" spans="1:6">
      <c r="A280" s="139">
        <f>IF('Data Table Input'!A273="","",'Data Table Input'!A273)</f>
        <v>232</v>
      </c>
      <c r="B280" s="140">
        <f>IF('Data Table Input'!A273="","",'Data Table Input'!B273)</f>
        <v>77.59687217898454</v>
      </c>
      <c r="C280" s="140">
        <f>IF('Data Table Input'!A273="","",'Data Table Input'!C273)</f>
        <v>24.699851551510722</v>
      </c>
      <c r="D280" s="140" t="str">
        <f>IF('Data Table Input'!A273="","",'Data Table Input'!D273)</f>
        <v>Open</v>
      </c>
      <c r="E280" s="140" t="str">
        <f>IF('Data Table Input'!A273="","",'Data Table Input'!F273)</f>
        <v>Fully Open</v>
      </c>
      <c r="F280" s="140">
        <f>IF('Data Table Input'!A273="","",'Data Table Input'!G273)</f>
        <v>19.333333333333332</v>
      </c>
    </row>
    <row r="281" spans="1:6">
      <c r="A281" s="139">
        <f>IF('Data Table Input'!A274="","",'Data Table Input'!A274)</f>
        <v>233</v>
      </c>
      <c r="B281" s="140">
        <f>IF('Data Table Input'!A274="","",'Data Table Input'!B274)</f>
        <v>77.763926994901681</v>
      </c>
      <c r="C281" s="140">
        <f>IF('Data Table Input'!A274="","",'Data Table Input'!C274)</f>
        <v>24.753026750951761</v>
      </c>
      <c r="D281" s="140" t="str">
        <f>IF('Data Table Input'!A274="","",'Data Table Input'!D274)</f>
        <v>Open</v>
      </c>
      <c r="E281" s="140" t="str">
        <f>IF('Data Table Input'!A274="","",'Data Table Input'!F274)</f>
        <v>Fully Open</v>
      </c>
      <c r="F281" s="140">
        <f>IF('Data Table Input'!A274="","",'Data Table Input'!G274)</f>
        <v>19.416666666666668</v>
      </c>
    </row>
    <row r="282" spans="1:6">
      <c r="A282" s="139">
        <f>IF('Data Table Input'!A275="","",'Data Table Input'!A275)</f>
        <v>234</v>
      </c>
      <c r="B282" s="140">
        <f>IF('Data Table Input'!A275="","",'Data Table Input'!B275)</f>
        <v>77.930623707084038</v>
      </c>
      <c r="C282" s="140">
        <f>IF('Data Table Input'!A275="","",'Data Table Input'!C275)</f>
        <v>24.80608796243374</v>
      </c>
      <c r="D282" s="140" t="str">
        <f>IF('Data Table Input'!A275="","",'Data Table Input'!D275)</f>
        <v>Open</v>
      </c>
      <c r="E282" s="140" t="str">
        <f>IF('Data Table Input'!A275="","",'Data Table Input'!F275)</f>
        <v>Fully Open</v>
      </c>
      <c r="F282" s="140">
        <f>IF('Data Table Input'!A275="","",'Data Table Input'!G275)</f>
        <v>19.5</v>
      </c>
    </row>
    <row r="283" spans="1:6">
      <c r="A283" s="139">
        <f>IF('Data Table Input'!A276="","",'Data Table Input'!A276)</f>
        <v>235</v>
      </c>
      <c r="B283" s="140">
        <f>IF('Data Table Input'!A276="","",'Data Table Input'!B276)</f>
        <v>78.096964608631623</v>
      </c>
      <c r="C283" s="140">
        <f>IF('Data Table Input'!A276="","",'Data Table Input'!C276)</f>
        <v>24.859035915873061</v>
      </c>
      <c r="D283" s="140" t="str">
        <f>IF('Data Table Input'!A276="","",'Data Table Input'!D276)</f>
        <v>Open</v>
      </c>
      <c r="E283" s="140" t="str">
        <f>IF('Data Table Input'!A276="","",'Data Table Input'!F276)</f>
        <v>Fully Open</v>
      </c>
      <c r="F283" s="140">
        <f>IF('Data Table Input'!A276="","",'Data Table Input'!G276)</f>
        <v>19.583333333333332</v>
      </c>
    </row>
    <row r="284" spans="1:6">
      <c r="A284" s="139">
        <f>IF('Data Table Input'!A277="","",'Data Table Input'!A277)</f>
        <v>236</v>
      </c>
      <c r="B284" s="140">
        <f>IF('Data Table Input'!A277="","",'Data Table Input'!B277)</f>
        <v>78.262951968275445</v>
      </c>
      <c r="C284" s="140">
        <f>IF('Data Table Input'!A277="","",'Data Table Input'!C277)</f>
        <v>24.911871333429232</v>
      </c>
      <c r="D284" s="140" t="str">
        <f>IF('Data Table Input'!A277="","",'Data Table Input'!D277)</f>
        <v>Open</v>
      </c>
      <c r="E284" s="140" t="str">
        <f>IF('Data Table Input'!A277="","",'Data Table Input'!F277)</f>
        <v>Fully Open</v>
      </c>
      <c r="F284" s="140">
        <f>IF('Data Table Input'!A277="","",'Data Table Input'!G277)</f>
        <v>19.666666666666668</v>
      </c>
    </row>
    <row r="285" spans="1:6">
      <c r="A285" s="139">
        <f>IF('Data Table Input'!A278="","",'Data Table Input'!A278)</f>
        <v>237</v>
      </c>
      <c r="B285" s="140">
        <f>IF('Data Table Input'!A278="","",'Data Table Input'!B278)</f>
        <v>78.428588030738638</v>
      </c>
      <c r="C285" s="140">
        <f>IF('Data Table Input'!A278="","",'Data Table Input'!C278)</f>
        <v>24.964594929619825</v>
      </c>
      <c r="D285" s="140" t="str">
        <f>IF('Data Table Input'!A278="","",'Data Table Input'!D278)</f>
        <v>Open</v>
      </c>
      <c r="E285" s="140" t="str">
        <f>IF('Data Table Input'!A278="","",'Data Table Input'!F278)</f>
        <v>Fully Open</v>
      </c>
      <c r="F285" s="140">
        <f>IF('Data Table Input'!A278="","",'Data Table Input'!G278)</f>
        <v>19.75</v>
      </c>
    </row>
    <row r="286" spans="1:6">
      <c r="A286" s="139">
        <f>IF('Data Table Input'!A279="","",'Data Table Input'!A279)</f>
        <v>238</v>
      </c>
      <c r="B286" s="140">
        <f>IF('Data Table Input'!A279="","",'Data Table Input'!B279)</f>
        <v>78.593875017090568</v>
      </c>
      <c r="C286" s="140">
        <f>IF('Data Table Input'!A279="","",'Data Table Input'!C279)</f>
        <v>25.017207411433169</v>
      </c>
      <c r="D286" s="140" t="str">
        <f>IF('Data Table Input'!A279="","",'Data Table Input'!D279)</f>
        <v>Open</v>
      </c>
      <c r="E286" s="140" t="str">
        <f>IF('Data Table Input'!A279="","",'Data Table Input'!F279)</f>
        <v>Fully Open</v>
      </c>
      <c r="F286" s="140">
        <f>IF('Data Table Input'!A279="","",'Data Table Input'!G279)</f>
        <v>19.833333333333332</v>
      </c>
    </row>
    <row r="287" spans="1:6">
      <c r="A287" s="139">
        <f>IF('Data Table Input'!A280="","",'Data Table Input'!A280)</f>
        <v>239</v>
      </c>
      <c r="B287" s="140">
        <f>IF('Data Table Input'!A280="","",'Data Table Input'!B280)</f>
        <v>78.758815125094316</v>
      </c>
      <c r="C287" s="140">
        <f>IF('Data Table Input'!A280="","",'Data Table Input'!C280)</f>
        <v>25.069709478438984</v>
      </c>
      <c r="D287" s="140" t="str">
        <f>IF('Data Table Input'!A280="","",'Data Table Input'!D280)</f>
        <v>Open</v>
      </c>
      <c r="E287" s="140" t="str">
        <f>IF('Data Table Input'!A280="","",'Data Table Input'!F280)</f>
        <v>Fully Open</v>
      </c>
      <c r="F287" s="140">
        <f>IF('Data Table Input'!A280="","",'Data Table Input'!G280)</f>
        <v>19.916666666666668</v>
      </c>
    </row>
    <row r="288" spans="1:6">
      <c r="A288" s="139">
        <f>IF('Data Table Input'!A281="","",'Data Table Input'!A281)</f>
        <v>240</v>
      </c>
      <c r="B288" s="140">
        <f>IF('Data Table Input'!A281="","",'Data Table Input'!B281)</f>
        <v>78.923410529547667</v>
      </c>
      <c r="C288" s="140">
        <f>IF('Data Table Input'!A281="","",'Data Table Input'!C281)</f>
        <v>25.122101822896905</v>
      </c>
      <c r="D288" s="140" t="str">
        <f>IF('Data Table Input'!A281="","",'Data Table Input'!D281)</f>
        <v>Open</v>
      </c>
      <c r="E288" s="140" t="str">
        <f>IF('Data Table Input'!A281="","",'Data Table Input'!F281)</f>
        <v>Fully Open</v>
      </c>
      <c r="F288" s="140">
        <f>IF('Data Table Input'!A281="","",'Data Table Input'!G281)</f>
        <v>20</v>
      </c>
    </row>
    <row r="289" spans="1:7">
      <c r="A289" s="76"/>
      <c r="B289" s="49"/>
      <c r="D289" s="49"/>
      <c r="E289" s="48"/>
      <c r="G289" s="46"/>
    </row>
  </sheetData>
  <sheetProtection algorithmName="SHA-512" hashValue="1Ayqj2zOiQoPfZMCl0YvyOF53FBjJk0SCE7M0QJAtzLaS6mPEF7llo4PPFT7WbAjajL6FVKcGDWNjmY9RShKfg==" saltValue="P7rs+kzZvmEbGoFjC6Hw0Q==" spinCount="100000" sheet="1"/>
  <customSheetViews>
    <customSheetView guid="{C8C28A16-3CAD-4F54-A986-B4BB76010774}" topLeftCell="A13">
      <selection activeCell="C17" sqref="C17"/>
      <pageMargins left="0.7" right="0.7" top="0.75" bottom="0.75" header="0.3" footer="0.3"/>
      <pageSetup orientation="portrait" r:id="rId1"/>
    </customSheetView>
    <customSheetView guid="{69D25061-22BB-4069-9A58-30FF41B45BB4}" topLeftCell="A13">
      <selection activeCell="C17" sqref="C17"/>
      <pageMargins left="0.7" right="0.7" top="0.75" bottom="0.75" header="0.3" footer="0.3"/>
      <pageSetup orientation="portrait" r:id="rId2"/>
    </customSheetView>
  </customSheetViews>
  <mergeCells count="2">
    <mergeCell ref="A46:F46"/>
    <mergeCell ref="A3:B3"/>
  </mergeCells>
  <conditionalFormatting sqref="D38">
    <cfRule type="cellIs" dxfId="19" priority="11" operator="equal">
      <formula>"Closed"</formula>
    </cfRule>
    <cfRule type="cellIs" dxfId="18" priority="12" operator="equal">
      <formula>"OPEN"</formula>
    </cfRule>
  </conditionalFormatting>
  <conditionalFormatting sqref="C38">
    <cfRule type="cellIs" dxfId="17" priority="9" operator="equal">
      <formula>"Closed"</formula>
    </cfRule>
    <cfRule type="cellIs" dxfId="16" priority="10" operator="equal">
      <formula>"OPEN"</formula>
    </cfRule>
  </conditionalFormatting>
  <conditionalFormatting sqref="D49:D288">
    <cfRule type="containsText" dxfId="15" priority="7" operator="containsText" text="Open">
      <formula>NOT(ISERROR(SEARCH("Open",D49)))</formula>
    </cfRule>
    <cfRule type="containsText" dxfId="14" priority="8" operator="containsText" text="Closed">
      <formula>NOT(ISERROR(SEARCH("Closed",D49)))</formula>
    </cfRule>
  </conditionalFormatting>
  <conditionalFormatting sqref="E49:E288">
    <cfRule type="containsText" dxfId="13" priority="4" operator="containsText" text="Fully Open">
      <formula>NOT(ISERROR(SEARCH("Fully Open",E49)))</formula>
    </cfRule>
    <cfRule type="cellIs" dxfId="12" priority="5" operator="equal">
      <formula>0</formula>
    </cfRule>
    <cfRule type="cellIs" dxfId="11" priority="6" operator="between">
      <formula>0.001</formula>
      <formula>90</formula>
    </cfRule>
  </conditionalFormatting>
  <conditionalFormatting sqref="A49:F288">
    <cfRule type="expression" dxfId="10" priority="14">
      <formula>$A49=$D$7</formula>
    </cfRule>
  </conditionalFormatting>
  <dataValidations count="6">
    <dataValidation type="custom" allowBlank="1" showInputMessage="1" showErrorMessage="1" sqref="D7" xr:uid="{2F30141C-F24E-475D-9EEB-7C7685B3C2FB}">
      <formula1>D7&lt;240</formula1>
    </dataValidation>
    <dataValidation type="custom" allowBlank="1" showInputMessage="1" showErrorMessage="1" sqref="D10" xr:uid="{6C7237D4-FFFE-41F6-A31E-6D234195DC0B}">
      <formula1>D10&lt;5.001%</formula1>
    </dataValidation>
    <dataValidation type="custom" allowBlank="1" showInputMessage="1" showErrorMessage="1" sqref="D15" xr:uid="{1DDD38E0-4287-433D-8829-DD90B515945C}">
      <formula1>D15&lt;D4/2</formula1>
    </dataValidation>
    <dataValidation type="decimal" allowBlank="1" showInputMessage="1" showErrorMessage="1" sqref="C20" xr:uid="{DC20F75A-371A-4D6C-AF36-DF80D9A940C3}">
      <formula1>0.001</formula1>
      <formula2>0.99</formula2>
    </dataValidation>
    <dataValidation type="custom" allowBlank="1" showInputMessage="1" showErrorMessage="1" sqref="D9" xr:uid="{A1C3DA59-469A-4138-BBB6-B62C924355FE}">
      <formula1>D9&lt;D8&lt;240.001</formula1>
    </dataValidation>
    <dataValidation type="decimal" allowBlank="1" showInputMessage="1" showErrorMessage="1" sqref="D8" xr:uid="{52C8AE7F-AE31-4837-9D21-73F2C2AC6036}">
      <formula1>D7</formula1>
      <formula2>240.001</formula2>
    </dataValidation>
  </dataValidations>
  <pageMargins left="0.7" right="0.7" top="0.75" bottom="0.75" header="0.3" footer="0.3"/>
  <pageSetup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982BF-3FF9-4A02-BE1C-036B58CE9498}">
  <dimension ref="A2:AC372"/>
  <sheetViews>
    <sheetView topLeftCell="A7"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 min="17" max="17" width="19.140625" bestFit="1" customWidth="1"/>
    <col min="18" max="18" width="12.85546875" bestFit="1" customWidth="1"/>
    <col min="19" max="19" width="11.85546875" bestFit="1" customWidth="1"/>
    <col min="26" max="26" width="14.5703125" bestFit="1" customWidth="1"/>
  </cols>
  <sheetData>
    <row r="2" spans="1:29">
      <c r="Z2" s="80" t="s">
        <v>18</v>
      </c>
    </row>
    <row r="3" spans="1:29">
      <c r="A3" s="5" t="s">
        <v>17</v>
      </c>
      <c r="B3" s="5" t="s">
        <v>18</v>
      </c>
      <c r="C3" s="124">
        <f>'Riser Inputs and Outputs'!D14/12</f>
        <v>0.25</v>
      </c>
      <c r="D3" s="5" t="s">
        <v>5</v>
      </c>
      <c r="Q3" s="84" t="s">
        <v>154</v>
      </c>
    </row>
    <row r="4" spans="1:29">
      <c r="A4" s="5" t="s">
        <v>20</v>
      </c>
      <c r="B4" s="5" t="s">
        <v>21</v>
      </c>
      <c r="C4" s="5">
        <f>C3/2</f>
        <v>0.125</v>
      </c>
      <c r="D4" s="5" t="s">
        <v>5</v>
      </c>
    </row>
    <row r="5" spans="1:29">
      <c r="A5" s="5" t="s">
        <v>22</v>
      </c>
      <c r="B5" s="5" t="s">
        <v>23</v>
      </c>
      <c r="C5" s="263">
        <f>'Riser Inputs and Outputs'!F7</f>
        <v>4</v>
      </c>
      <c r="D5" s="5" t="s">
        <v>5</v>
      </c>
      <c r="Q5" t="s">
        <v>169</v>
      </c>
      <c r="R5" s="44" t="s">
        <v>54</v>
      </c>
      <c r="S5" s="11">
        <f>'Riser Inputs and Outputs'!D25</f>
        <v>0.5514940967505978</v>
      </c>
      <c r="T5" t="s">
        <v>99</v>
      </c>
    </row>
    <row r="6" spans="1:29">
      <c r="A6" s="5" t="s">
        <v>135</v>
      </c>
      <c r="B6" s="5"/>
      <c r="C6" s="5">
        <f>PI()*C3^2/4</f>
        <v>4.9087385212340517E-2</v>
      </c>
      <c r="D6" s="5" t="s">
        <v>32</v>
      </c>
      <c r="Q6" t="s">
        <v>119</v>
      </c>
      <c r="R6" s="44" t="s">
        <v>33</v>
      </c>
      <c r="S6" s="9">
        <f>'Riser Inputs and Outputs'!D33</f>
        <v>4.9087385212340517E-2</v>
      </c>
      <c r="T6" t="s">
        <v>37</v>
      </c>
    </row>
    <row r="7" spans="1:29">
      <c r="A7" s="5" t="s">
        <v>25</v>
      </c>
      <c r="B7" s="5" t="s">
        <v>26</v>
      </c>
      <c r="C7" s="5">
        <f>IF(C5&lt;C4,C5,2*C4-C5)</f>
        <v>-3.75</v>
      </c>
      <c r="D7" s="5" t="s">
        <v>5</v>
      </c>
      <c r="Q7" t="s">
        <v>113</v>
      </c>
      <c r="S7">
        <v>0.7</v>
      </c>
    </row>
    <row r="8" spans="1:29">
      <c r="A8" s="5" t="s">
        <v>27</v>
      </c>
      <c r="B8" s="6" t="s">
        <v>28</v>
      </c>
      <c r="C8" s="5" t="e">
        <f>2*ACOS((C4-C7)/C4)</f>
        <v>#NUM!</v>
      </c>
      <c r="D8" s="5" t="s">
        <v>29</v>
      </c>
      <c r="Q8" t="s">
        <v>172</v>
      </c>
      <c r="R8" s="44"/>
      <c r="S8" s="9">
        <f>(S5/(S7*S6))^2/(2*C36)</f>
        <v>4.0000000000000009</v>
      </c>
      <c r="T8" t="s">
        <v>37</v>
      </c>
    </row>
    <row r="9" spans="1:29">
      <c r="A9" s="5"/>
      <c r="B9" s="5"/>
      <c r="C9" s="5" t="e">
        <f>C8*180/PI()</f>
        <v>#NUM!</v>
      </c>
      <c r="D9" s="5" t="s">
        <v>9</v>
      </c>
      <c r="Q9" t="s">
        <v>172</v>
      </c>
      <c r="S9" s="9">
        <f>(S8*4/PI())^0.5</f>
        <v>2.2567583341910256</v>
      </c>
      <c r="T9" t="s">
        <v>37</v>
      </c>
    </row>
    <row r="10" spans="1:29">
      <c r="A10" s="5" t="s">
        <v>30</v>
      </c>
      <c r="B10" s="5" t="s">
        <v>31</v>
      </c>
      <c r="C10" s="5" t="e">
        <f>C4^2*(C8-SIN(C8))/2</f>
        <v>#NUM!</v>
      </c>
      <c r="D10" s="5" t="s">
        <v>32</v>
      </c>
    </row>
    <row r="11" spans="1:29">
      <c r="A11" s="5" t="s">
        <v>35</v>
      </c>
      <c r="B11" s="5" t="s">
        <v>36</v>
      </c>
      <c r="C11" s="5" t="e">
        <f>C4*C8</f>
        <v>#NUM!</v>
      </c>
      <c r="D11" s="5" t="s">
        <v>37</v>
      </c>
      <c r="Z11" s="44" t="s">
        <v>164</v>
      </c>
      <c r="AA11" s="44" t="s">
        <v>162</v>
      </c>
      <c r="AB11" s="44" t="s">
        <v>163</v>
      </c>
      <c r="AC11" s="44" t="s">
        <v>167</v>
      </c>
    </row>
    <row r="12" spans="1:29">
      <c r="A12" s="5" t="s">
        <v>38</v>
      </c>
      <c r="B12" s="5" t="s">
        <v>33</v>
      </c>
      <c r="C12" s="5">
        <f>IF(C5&gt;C3,C6,IF(C5&lt;C4,C10,PI()*C4^2-C10))</f>
        <v>4.9087385212340517E-2</v>
      </c>
      <c r="D12" s="5" t="s">
        <v>32</v>
      </c>
      <c r="Q12" t="s">
        <v>171</v>
      </c>
      <c r="Z12">
        <f>AB12-SIN(AB12)</f>
        <v>0</v>
      </c>
      <c r="AA12">
        <v>0</v>
      </c>
      <c r="AB12">
        <f>AA12*PI()/180</f>
        <v>0</v>
      </c>
      <c r="AC12">
        <f>SIN(AB12)</f>
        <v>0</v>
      </c>
    </row>
    <row r="13" spans="1:29">
      <c r="A13" s="5" t="s">
        <v>39</v>
      </c>
      <c r="B13" s="5" t="s">
        <v>40</v>
      </c>
      <c r="C13" s="5" t="e">
        <f>IF(C5&lt;C4,C11,2*PI()*C4-C11)</f>
        <v>#NUM!</v>
      </c>
      <c r="D13" s="5" t="s">
        <v>37</v>
      </c>
      <c r="Q13" t="s">
        <v>170</v>
      </c>
      <c r="R13" s="44" t="s">
        <v>18</v>
      </c>
      <c r="S13">
        <f>C3</f>
        <v>0.25</v>
      </c>
      <c r="T13" t="s">
        <v>37</v>
      </c>
      <c r="Z13">
        <f t="shared" ref="Z13:Z76" si="0">AB13-SIN(AB13)</f>
        <v>8.8608265978382117E-7</v>
      </c>
      <c r="AA13">
        <v>1</v>
      </c>
      <c r="AB13">
        <f t="shared" ref="AB13:AB76" si="1">AA13*PI()/180</f>
        <v>1.7453292519943295E-2</v>
      </c>
      <c r="AC13">
        <f t="shared" ref="AC13:AC76" si="2">SIN(AB13)</f>
        <v>1.7452406437283512E-2</v>
      </c>
    </row>
    <row r="14" spans="1:29" ht="18">
      <c r="A14" s="5" t="s">
        <v>42</v>
      </c>
      <c r="B14" s="5" t="s">
        <v>43</v>
      </c>
      <c r="C14" s="5" t="e">
        <f>IF(C5=0,0,C12/C13)</f>
        <v>#NUM!</v>
      </c>
      <c r="D14" s="5" t="s">
        <v>37</v>
      </c>
      <c r="Q14" t="s">
        <v>159</v>
      </c>
      <c r="R14" s="44" t="s">
        <v>21</v>
      </c>
      <c r="S14">
        <f>C4</f>
        <v>0.125</v>
      </c>
      <c r="T14" t="s">
        <v>37</v>
      </c>
      <c r="Z14">
        <f t="shared" si="0"/>
        <v>7.0883373856217569E-6</v>
      </c>
      <c r="AA14">
        <v>2</v>
      </c>
      <c r="AB14">
        <f t="shared" si="1"/>
        <v>3.4906585039886591E-2</v>
      </c>
      <c r="AC14">
        <f t="shared" si="2"/>
        <v>3.4899496702500969E-2</v>
      </c>
    </row>
    <row r="15" spans="1:29">
      <c r="Q15" t="s">
        <v>119</v>
      </c>
      <c r="R15" s="44" t="s">
        <v>33</v>
      </c>
      <c r="S15" s="82">
        <f>'Riser Inputs and Outputs'!D33</f>
        <v>4.9087385212340517E-2</v>
      </c>
      <c r="T15" t="s">
        <v>32</v>
      </c>
      <c r="Z15">
        <f t="shared" si="0"/>
        <v>2.3921316886055255E-5</v>
      </c>
      <c r="AA15">
        <v>3</v>
      </c>
      <c r="AB15">
        <f t="shared" si="1"/>
        <v>5.2359877559829883E-2</v>
      </c>
      <c r="AC15">
        <f t="shared" si="2"/>
        <v>5.2335956242943828E-2</v>
      </c>
    </row>
    <row r="16" spans="1:29">
      <c r="A16" s="10" t="s">
        <v>86</v>
      </c>
      <c r="B16" s="3"/>
      <c r="C16" s="3"/>
      <c r="D16" s="3"/>
      <c r="R16" s="44"/>
      <c r="Z16">
        <f t="shared" si="0"/>
        <v>5.6696335647879459E-5</v>
      </c>
      <c r="AA16">
        <v>4</v>
      </c>
      <c r="AB16">
        <f t="shared" si="1"/>
        <v>6.9813170079773182E-2</v>
      </c>
      <c r="AC16">
        <f t="shared" si="2"/>
        <v>6.9756473744125302E-2</v>
      </c>
    </row>
    <row r="17" spans="1:29">
      <c r="A17" s="3" t="s">
        <v>88</v>
      </c>
      <c r="B17" s="3" t="s">
        <v>64</v>
      </c>
      <c r="C17" s="264">
        <f>C3</f>
        <v>0.25</v>
      </c>
      <c r="D17" s="3" t="s">
        <v>5</v>
      </c>
      <c r="E17" s="42" t="s">
        <v>125</v>
      </c>
      <c r="Q17" t="s">
        <v>155</v>
      </c>
      <c r="S17">
        <f>PI()*C3^2/4</f>
        <v>4.9087385212340517E-2</v>
      </c>
      <c r="T17" t="s">
        <v>32</v>
      </c>
      <c r="U17" t="b">
        <f>S17-C6=0</f>
        <v>1</v>
      </c>
      <c r="V17" t="s">
        <v>160</v>
      </c>
      <c r="Z17">
        <f t="shared" si="0"/>
        <v>1.1071985205830803E-4</v>
      </c>
      <c r="AA17">
        <v>5</v>
      </c>
      <c r="AB17">
        <f t="shared" si="1"/>
        <v>8.7266462599716474E-2</v>
      </c>
      <c r="AC17">
        <f t="shared" si="2"/>
        <v>8.7155742747658166E-2</v>
      </c>
    </row>
    <row r="18" spans="1:29">
      <c r="A18" s="3" t="s">
        <v>87</v>
      </c>
      <c r="B18" s="3"/>
      <c r="C18" s="3">
        <f>2*ACOS((C4-C17)/C4)</f>
        <v>6.2831853071795862</v>
      </c>
      <c r="D18" s="3" t="s">
        <v>29</v>
      </c>
      <c r="Q18" t="s">
        <v>156</v>
      </c>
      <c r="S18">
        <f>S17/2</f>
        <v>2.4543692606170259E-2</v>
      </c>
      <c r="T18" t="s">
        <v>32</v>
      </c>
      <c r="Z18">
        <f t="shared" si="0"/>
        <v>1.9129185200630894E-4</v>
      </c>
      <c r="AA18">
        <v>6</v>
      </c>
      <c r="AB18">
        <f t="shared" si="1"/>
        <v>0.10471975511965977</v>
      </c>
      <c r="AC18">
        <f t="shared" si="2"/>
        <v>0.10452846326765346</v>
      </c>
    </row>
    <row r="19" spans="1:29">
      <c r="A19" s="3"/>
      <c r="B19" s="3"/>
      <c r="C19" s="3">
        <f>C18*180/PI()</f>
        <v>360</v>
      </c>
      <c r="D19" s="3" t="s">
        <v>9</v>
      </c>
      <c r="Z19">
        <f t="shared" si="0"/>
        <v>3.0370423445559569E-4</v>
      </c>
      <c r="AA19">
        <v>7</v>
      </c>
      <c r="AB19">
        <f t="shared" si="1"/>
        <v>0.12217304763960307</v>
      </c>
      <c r="AC19">
        <f t="shared" si="2"/>
        <v>0.12186934340514748</v>
      </c>
    </row>
    <row r="20" spans="1:29">
      <c r="A20" s="3" t="s">
        <v>121</v>
      </c>
      <c r="B20" s="3"/>
      <c r="C20" s="3">
        <f>C4^2*(C18-SIN(C18))/2</f>
        <v>4.9087385212340517E-2</v>
      </c>
      <c r="D20" s="3" t="s">
        <v>32</v>
      </c>
      <c r="Z20">
        <f t="shared" si="0"/>
        <v>4.5323919948092595E-4</v>
      </c>
      <c r="AA20">
        <v>8</v>
      </c>
      <c r="AB20">
        <f t="shared" si="1"/>
        <v>0.13962634015954636</v>
      </c>
      <c r="AC20">
        <f t="shared" si="2"/>
        <v>0.13917310096006544</v>
      </c>
    </row>
    <row r="21" spans="1:29">
      <c r="A21" s="3" t="s">
        <v>89</v>
      </c>
      <c r="B21" s="3"/>
      <c r="C21" s="3">
        <f>IF(C5&gt;C3,C6,C12-C20)</f>
        <v>4.9087385212340517E-2</v>
      </c>
      <c r="D21" s="3" t="s">
        <v>32</v>
      </c>
      <c r="Q21" t="s">
        <v>30</v>
      </c>
      <c r="R21" t="s">
        <v>157</v>
      </c>
      <c r="S21" s="83">
        <f>S15</f>
        <v>4.9087385212340517E-2</v>
      </c>
      <c r="T21" t="s">
        <v>32</v>
      </c>
      <c r="Z21">
        <f t="shared" si="0"/>
        <v>6.4516763925878684E-4</v>
      </c>
      <c r="AA21">
        <v>9</v>
      </c>
      <c r="AB21">
        <f t="shared" si="1"/>
        <v>0.15707963267948966</v>
      </c>
      <c r="AC21">
        <f t="shared" si="2"/>
        <v>0.15643446504023087</v>
      </c>
    </row>
    <row r="22" spans="1:29">
      <c r="Z22">
        <f t="shared" si="0"/>
        <v>8.8474753250261662E-4</v>
      </c>
      <c r="AA22">
        <v>10</v>
      </c>
      <c r="AB22">
        <f t="shared" si="1"/>
        <v>0.17453292519943295</v>
      </c>
      <c r="AC22">
        <f t="shared" si="2"/>
        <v>0.17364817766693033</v>
      </c>
    </row>
    <row r="23" spans="1:29">
      <c r="A23" s="5" t="s">
        <v>49</v>
      </c>
      <c r="B23" s="5" t="s">
        <v>36</v>
      </c>
      <c r="C23" s="43">
        <f>'Riser Inputs and Outputs'!D8</f>
        <v>0.01</v>
      </c>
      <c r="D23" s="5" t="s">
        <v>50</v>
      </c>
      <c r="Q23" t="s">
        <v>158</v>
      </c>
      <c r="S23">
        <f>(S21*2)/(S14^2)</f>
        <v>6.2831853071795862</v>
      </c>
      <c r="T23" t="s">
        <v>161</v>
      </c>
      <c r="Z23">
        <f t="shared" si="0"/>
        <v>1.1772223428314355E-3</v>
      </c>
      <c r="AA23">
        <v>11</v>
      </c>
      <c r="AB23">
        <f t="shared" si="1"/>
        <v>0.19198621771937624</v>
      </c>
      <c r="AC23">
        <f t="shared" si="2"/>
        <v>0.1908089953765448</v>
      </c>
    </row>
    <row r="24" spans="1:29">
      <c r="A24" s="5"/>
      <c r="B24" s="5"/>
      <c r="C24" s="8">
        <f>C23</f>
        <v>0.01</v>
      </c>
      <c r="D24" s="5" t="s">
        <v>51</v>
      </c>
      <c r="Q24" t="s">
        <v>165</v>
      </c>
      <c r="S24">
        <f>VLOOKUP(S23,Z12:AB371,3)</f>
        <v>6.2657320146596422</v>
      </c>
      <c r="T24" t="s">
        <v>161</v>
      </c>
      <c r="Z24">
        <f t="shared" si="0"/>
        <v>1.527819421560217E-3</v>
      </c>
      <c r="AA24">
        <v>12</v>
      </c>
      <c r="AB24">
        <f t="shared" si="1"/>
        <v>0.20943951023931953</v>
      </c>
      <c r="AC24">
        <f t="shared" si="2"/>
        <v>0.20791169081775931</v>
      </c>
    </row>
    <row r="25" spans="1:29">
      <c r="A25" s="5" t="s">
        <v>52</v>
      </c>
      <c r="B25" s="5" t="s">
        <v>16</v>
      </c>
      <c r="C25" s="5">
        <f>'Riser Inputs and Outputs'!D10</f>
        <v>1.0999999999999999E-2</v>
      </c>
      <c r="D25" s="5"/>
      <c r="S25">
        <f>S24*180/PI()</f>
        <v>359</v>
      </c>
      <c r="T25" t="s">
        <v>166</v>
      </c>
      <c r="Z25">
        <f t="shared" si="0"/>
        <v>1.9417484153978481E-3</v>
      </c>
      <c r="AA25">
        <v>13</v>
      </c>
      <c r="AB25">
        <f t="shared" si="1"/>
        <v>0.22689280275926285</v>
      </c>
      <c r="AC25">
        <f t="shared" si="2"/>
        <v>0.224951054343865</v>
      </c>
    </row>
    <row r="26" spans="1:29">
      <c r="A26" s="5"/>
      <c r="B26" s="5"/>
      <c r="C26" s="5"/>
      <c r="D26" s="5"/>
      <c r="Z26">
        <f t="shared" si="0"/>
        <v>2.4241996795384135E-3</v>
      </c>
      <c r="AA26">
        <v>14</v>
      </c>
      <c r="AB26">
        <f t="shared" si="1"/>
        <v>0.24434609527920614</v>
      </c>
      <c r="AC26">
        <f t="shared" si="2"/>
        <v>0.24192189559966773</v>
      </c>
    </row>
    <row r="27" spans="1:29">
      <c r="A27" s="5" t="s">
        <v>22</v>
      </c>
      <c r="B27" s="5" t="s">
        <v>23</v>
      </c>
      <c r="C27" s="5">
        <f>C5</f>
        <v>4</v>
      </c>
      <c r="D27" s="5" t="s">
        <v>5</v>
      </c>
      <c r="Q27" t="s">
        <v>26</v>
      </c>
      <c r="S27">
        <f>(1-COS(S24/2))*S14</f>
        <v>0.2499952403830214</v>
      </c>
      <c r="T27" t="s">
        <v>37</v>
      </c>
      <c r="Z27">
        <f t="shared" si="0"/>
        <v>2.9803426966286684E-3</v>
      </c>
      <c r="AA27">
        <v>15</v>
      </c>
      <c r="AB27">
        <f t="shared" si="1"/>
        <v>0.26179938779914941</v>
      </c>
      <c r="AC27">
        <f t="shared" si="2"/>
        <v>0.25881904510252074</v>
      </c>
    </row>
    <row r="28" spans="1:29">
      <c r="A28" s="5"/>
      <c r="B28" s="5"/>
      <c r="C28" s="5"/>
      <c r="D28" s="5"/>
      <c r="S28">
        <f>S27*12</f>
        <v>2.9999428845962566</v>
      </c>
      <c r="T28" t="s">
        <v>4</v>
      </c>
      <c r="Z28">
        <f t="shared" si="0"/>
        <v>3.6153245020935643E-3</v>
      </c>
      <c r="AA28">
        <v>16</v>
      </c>
      <c r="AB28">
        <f t="shared" si="1"/>
        <v>0.27925268031909273</v>
      </c>
      <c r="AC28">
        <f t="shared" si="2"/>
        <v>0.27563735581699916</v>
      </c>
    </row>
    <row r="29" spans="1:29">
      <c r="A29" s="5" t="s">
        <v>53</v>
      </c>
      <c r="B29" s="5" t="s">
        <v>54</v>
      </c>
      <c r="C29" s="5" t="e">
        <f>(1.49/C25)*C12*(C14)^(2/3)*(C24^0.5)</f>
        <v>#NUM!</v>
      </c>
      <c r="D29" s="5" t="s">
        <v>55</v>
      </c>
      <c r="K29" s="7" t="s">
        <v>44</v>
      </c>
      <c r="S29" s="83"/>
      <c r="Z29">
        <f t="shared" si="0"/>
        <v>4.334268116299278E-3</v>
      </c>
      <c r="AA29">
        <v>17</v>
      </c>
      <c r="AB29">
        <f t="shared" si="1"/>
        <v>0.29670597283903605</v>
      </c>
      <c r="AC29">
        <f t="shared" si="2"/>
        <v>0.29237170472273677</v>
      </c>
    </row>
    <row r="30" spans="1:29">
      <c r="A30" s="5"/>
      <c r="B30" s="5"/>
      <c r="C30" s="5" t="e">
        <f>C29*7.48*60</f>
        <v>#NUM!</v>
      </c>
      <c r="D30" s="5" t="s">
        <v>56</v>
      </c>
      <c r="Z30">
        <f t="shared" si="0"/>
        <v>5.1422709840319158E-3</v>
      </c>
      <c r="AA30">
        <v>18</v>
      </c>
      <c r="AB30">
        <f t="shared" si="1"/>
        <v>0.31415926535897931</v>
      </c>
      <c r="AC30">
        <f t="shared" si="2"/>
        <v>0.3090169943749474</v>
      </c>
    </row>
    <row r="31" spans="1:29">
      <c r="A31" s="5"/>
      <c r="B31" s="5"/>
      <c r="C31" s="5"/>
      <c r="D31" s="5"/>
      <c r="K31" t="s">
        <v>46</v>
      </c>
      <c r="L31">
        <v>72</v>
      </c>
      <c r="M31" t="s">
        <v>4</v>
      </c>
      <c r="S31" s="81"/>
      <c r="Z31">
        <f t="shared" si="0"/>
        <v>6.0444034217659315E-3</v>
      </c>
      <c r="AA31">
        <v>19</v>
      </c>
      <c r="AB31">
        <f t="shared" si="1"/>
        <v>0.33161255787892258</v>
      </c>
      <c r="AC31">
        <f t="shared" si="2"/>
        <v>0.32556815445715664</v>
      </c>
    </row>
    <row r="32" spans="1:29">
      <c r="A32" s="5" t="s">
        <v>57</v>
      </c>
      <c r="B32" s="5" t="s">
        <v>58</v>
      </c>
      <c r="C32" s="5" t="e">
        <f>IF(C29=0,0,C29/C12)</f>
        <v>#NUM!</v>
      </c>
      <c r="D32" s="5" t="s">
        <v>59</v>
      </c>
      <c r="K32" t="s">
        <v>47</v>
      </c>
      <c r="L32">
        <v>6</v>
      </c>
      <c r="M32" t="s">
        <v>4</v>
      </c>
      <c r="Z32">
        <f t="shared" si="0"/>
        <v>7.0457070731971827E-3</v>
      </c>
      <c r="AA32">
        <v>20</v>
      </c>
      <c r="AB32">
        <f t="shared" si="1"/>
        <v>0.3490658503988659</v>
      </c>
      <c r="AC32">
        <f t="shared" si="2"/>
        <v>0.34202014332566871</v>
      </c>
    </row>
    <row r="33" spans="1:29">
      <c r="A33" s="5"/>
      <c r="B33" s="5"/>
      <c r="C33" s="5"/>
      <c r="D33" s="5"/>
      <c r="K33" t="s">
        <v>48</v>
      </c>
      <c r="L33">
        <f>(L31^2-(L32/2)^2)^0.5</f>
        <v>71.937472849690792</v>
      </c>
      <c r="M33" t="s">
        <v>4</v>
      </c>
      <c r="Z33">
        <f t="shared" si="0"/>
        <v>8.151193373508947E-3</v>
      </c>
      <c r="AA33">
        <v>21</v>
      </c>
      <c r="AB33">
        <f t="shared" si="1"/>
        <v>0.36651914291880922</v>
      </c>
      <c r="AC33">
        <f t="shared" si="2"/>
        <v>0.35836794954530027</v>
      </c>
    </row>
    <row r="34" spans="1:29">
      <c r="A34" s="5"/>
      <c r="B34" s="5"/>
      <c r="C34" s="5"/>
      <c r="D34" s="5"/>
      <c r="K34" t="s">
        <v>47</v>
      </c>
      <c r="L34">
        <f>180-2*ASIN(L33/L31)*180/PI()</f>
        <v>4.7760309265376861</v>
      </c>
      <c r="M34" t="s">
        <v>9</v>
      </c>
      <c r="Z34">
        <f t="shared" si="0"/>
        <v>9.3658420228404649E-3</v>
      </c>
      <c r="AA34">
        <v>22</v>
      </c>
      <c r="AB34">
        <f t="shared" si="1"/>
        <v>0.38397243543875248</v>
      </c>
      <c r="AC34">
        <f t="shared" si="2"/>
        <v>0.37460659341591201</v>
      </c>
    </row>
    <row r="35" spans="1:29">
      <c r="A35" s="5"/>
      <c r="B35" s="5"/>
      <c r="C35" s="5"/>
      <c r="D35" s="5"/>
      <c r="Z35">
        <f t="shared" si="0"/>
        <v>1.0694599469422028E-2</v>
      </c>
      <c r="AA35">
        <v>23</v>
      </c>
      <c r="AB35">
        <f t="shared" si="1"/>
        <v>0.40142572795869574</v>
      </c>
      <c r="AC35">
        <f t="shared" si="2"/>
        <v>0.39073112848927372</v>
      </c>
    </row>
    <row r="36" spans="1:29">
      <c r="A36" t="s">
        <v>98</v>
      </c>
      <c r="B36" t="s">
        <v>80</v>
      </c>
      <c r="C36">
        <f>'Riser Inputs and Outputs'!P5</f>
        <v>32.200000000000003</v>
      </c>
      <c r="D36" t="s">
        <v>81</v>
      </c>
      <c r="Z36">
        <f t="shared" si="0"/>
        <v>1.2142377402838911E-2</v>
      </c>
      <c r="AA36">
        <v>24</v>
      </c>
      <c r="AB36">
        <f t="shared" si="1"/>
        <v>0.41887902047863906</v>
      </c>
      <c r="AC36">
        <f t="shared" si="2"/>
        <v>0.40673664307580015</v>
      </c>
    </row>
    <row r="37" spans="1:29">
      <c r="Z37">
        <f t="shared" si="0"/>
        <v>1.3714051257882942E-2</v>
      </c>
      <c r="AA37">
        <v>25</v>
      </c>
      <c r="AB37">
        <f t="shared" si="1"/>
        <v>0.43633231299858238</v>
      </c>
      <c r="AC37">
        <f t="shared" si="2"/>
        <v>0.42261826174069944</v>
      </c>
    </row>
    <row r="38" spans="1:29">
      <c r="Z38">
        <f t="shared" si="0"/>
        <v>1.5414458729448299E-2</v>
      </c>
      <c r="AA38">
        <v>26</v>
      </c>
      <c r="AB38">
        <f t="shared" si="1"/>
        <v>0.4537856055185257</v>
      </c>
      <c r="AC38">
        <f t="shared" si="2"/>
        <v>0.4383711467890774</v>
      </c>
    </row>
    <row r="39" spans="1:29">
      <c r="A39" s="17"/>
      <c r="B39" s="13"/>
      <c r="C39" s="13"/>
      <c r="D39" s="13"/>
      <c r="E39" s="16"/>
      <c r="F39" s="16"/>
      <c r="G39" s="16"/>
      <c r="H39" s="16"/>
      <c r="Z39">
        <f t="shared" si="0"/>
        <v>1.7248398298922218E-2</v>
      </c>
      <c r="AA39">
        <v>27</v>
      </c>
      <c r="AB39">
        <f t="shared" si="1"/>
        <v>0.47123889803846897</v>
      </c>
      <c r="AC39">
        <f t="shared" si="2"/>
        <v>0.45399049973954675</v>
      </c>
    </row>
    <row r="40" spans="1:29">
      <c r="A40" s="13" t="s">
        <v>94</v>
      </c>
      <c r="B40" s="15">
        <f>'Riser Inputs and Outputs'!D40-'Riser Inputs and Outputs'!D41</f>
        <v>131.50706847926872</v>
      </c>
      <c r="C40" s="13" t="str">
        <f>'Riser Inputs and Outputs'!D42</f>
        <v>Open</v>
      </c>
      <c r="D40" s="13"/>
      <c r="E40" s="16"/>
      <c r="F40" s="16"/>
      <c r="G40" s="16"/>
      <c r="H40" s="16"/>
      <c r="Z40">
        <f t="shared" si="0"/>
        <v>1.9220627772521481E-2</v>
      </c>
      <c r="AA40">
        <v>28</v>
      </c>
      <c r="AB40">
        <f t="shared" si="1"/>
        <v>0.48869219055841229</v>
      </c>
      <c r="AC40">
        <f t="shared" si="2"/>
        <v>0.46947156278589081</v>
      </c>
    </row>
    <row r="41" spans="1:29">
      <c r="A41" s="13" t="s">
        <v>124</v>
      </c>
      <c r="B41" s="14">
        <f>C27</f>
        <v>4</v>
      </c>
      <c r="C41" s="13" t="s">
        <v>37</v>
      </c>
      <c r="D41" s="13"/>
      <c r="E41" s="16"/>
      <c r="F41" s="16"/>
      <c r="G41" s="16"/>
      <c r="H41" s="16"/>
      <c r="Z41">
        <f t="shared" si="0"/>
        <v>2.1335862832018548E-2</v>
      </c>
      <c r="AA41">
        <v>29</v>
      </c>
      <c r="AB41">
        <f t="shared" si="1"/>
        <v>0.50614548307835561</v>
      </c>
      <c r="AC41">
        <f t="shared" si="2"/>
        <v>0.48480962024633706</v>
      </c>
    </row>
    <row r="42" spans="1:29">
      <c r="A42" s="13" t="s">
        <v>88</v>
      </c>
      <c r="B42" s="13">
        <f>C17</f>
        <v>0.25</v>
      </c>
      <c r="C42" s="13" t="s">
        <v>37</v>
      </c>
      <c r="D42" s="13"/>
      <c r="E42" s="16"/>
      <c r="F42" s="16"/>
      <c r="G42" s="16"/>
      <c r="H42" s="16"/>
      <c r="Z42">
        <f t="shared" si="0"/>
        <v>2.3598775598298871E-2</v>
      </c>
      <c r="AA42">
        <v>30</v>
      </c>
      <c r="AB42">
        <f t="shared" si="1"/>
        <v>0.52359877559829882</v>
      </c>
      <c r="AC42">
        <f t="shared" si="2"/>
        <v>0.49999999999999994</v>
      </c>
    </row>
    <row r="43" spans="1:29">
      <c r="A43" s="13" t="s">
        <v>96</v>
      </c>
      <c r="B43" s="13" t="str">
        <f>IF(B41&gt;B42,"Open Channel",C29)</f>
        <v>Open Channel</v>
      </c>
      <c r="C43" s="13" t="s">
        <v>99</v>
      </c>
      <c r="D43" s="13" t="e">
        <f>C29</f>
        <v>#NUM!</v>
      </c>
      <c r="E43" s="16" t="s">
        <v>122</v>
      </c>
      <c r="F43" s="16"/>
      <c r="G43" s="16"/>
      <c r="H43" s="16"/>
      <c r="Z43">
        <f t="shared" si="0"/>
        <v>2.601399320818798E-2</v>
      </c>
      <c r="AA43">
        <v>31</v>
      </c>
      <c r="AB43">
        <f t="shared" si="1"/>
        <v>0.54105206811824214</v>
      </c>
      <c r="AC43">
        <f t="shared" si="2"/>
        <v>0.51503807491005416</v>
      </c>
    </row>
    <row r="44" spans="1:29">
      <c r="A44" s="13" t="s">
        <v>97</v>
      </c>
      <c r="B44" s="13">
        <f>IF(B41&lt;B42,"Below Opening",L44*C20*(2*C36*C5)^0.5)</f>
        <v>0.5514940967505978</v>
      </c>
      <c r="C44" s="13" t="s">
        <v>168</v>
      </c>
      <c r="D44" s="13">
        <f>L44*C20*(2*C36*C5)^0.5</f>
        <v>0.5514940967505978</v>
      </c>
      <c r="E44" s="16" t="s">
        <v>123</v>
      </c>
      <c r="F44" s="16"/>
      <c r="G44" s="16"/>
      <c r="H44" s="16"/>
      <c r="I44" s="16" t="s">
        <v>100</v>
      </c>
      <c r="J44" s="16"/>
      <c r="K44" s="16"/>
      <c r="L44" s="16">
        <f>'Riser Inputs and Outputs'!B21</f>
        <v>0.7</v>
      </c>
      <c r="Z44">
        <f t="shared" si="0"/>
        <v>2.8586096404980554E-2</v>
      </c>
      <c r="AA44">
        <v>32</v>
      </c>
      <c r="AB44">
        <f t="shared" si="1"/>
        <v>0.55850536063818546</v>
      </c>
      <c r="AC44">
        <f t="shared" si="2"/>
        <v>0.5299192642332049</v>
      </c>
    </row>
    <row r="45" spans="1:29">
      <c r="A45" s="13"/>
      <c r="B45" s="13"/>
      <c r="C45" s="13"/>
      <c r="D45" s="13"/>
      <c r="E45" s="16"/>
      <c r="F45" s="16"/>
      <c r="G45" s="16"/>
      <c r="H45" s="16"/>
      <c r="Z45">
        <f t="shared" si="0"/>
        <v>3.1319618143101691E-2</v>
      </c>
      <c r="AA45">
        <v>33</v>
      </c>
      <c r="AB45">
        <f t="shared" si="1"/>
        <v>0.57595865315812877</v>
      </c>
      <c r="AC45">
        <f t="shared" si="2"/>
        <v>0.54463903501502708</v>
      </c>
    </row>
    <row r="46" spans="1:29">
      <c r="A46" s="13" t="s">
        <v>53</v>
      </c>
      <c r="B46" s="13">
        <f>IF(B41&gt;C3,D59,IF(B40&lt;0,IF(B41&lt;B42,B43,B44),C29))</f>
        <v>0.5514940967505978</v>
      </c>
      <c r="C46" s="13" t="s">
        <v>99</v>
      </c>
      <c r="D46" s="13"/>
      <c r="E46" s="16"/>
      <c r="F46" s="16"/>
      <c r="G46" s="16"/>
      <c r="H46" s="16"/>
      <c r="Z46">
        <f t="shared" si="0"/>
        <v>3.421904220732519E-2</v>
      </c>
      <c r="AA46">
        <v>34</v>
      </c>
      <c r="AB46">
        <f t="shared" si="1"/>
        <v>0.59341194567807209</v>
      </c>
      <c r="AC46">
        <f t="shared" si="2"/>
        <v>0.5591929034707469</v>
      </c>
    </row>
    <row r="47" spans="1:29">
      <c r="A47" s="13" t="s">
        <v>57</v>
      </c>
      <c r="B47" s="13">
        <f>IF(B46=0,0,IF(B56&gt;0,D59/B57,IF(B41&gt;B42,IF(B40&lt;0,B46/C20,B46/C12),B46/C12)))</f>
        <v>11.234945482733774</v>
      </c>
      <c r="C47" s="13" t="s">
        <v>59</v>
      </c>
      <c r="D47" s="13"/>
      <c r="E47" s="16"/>
      <c r="F47" s="16"/>
      <c r="G47" s="16"/>
      <c r="H47" s="16"/>
      <c r="Z47">
        <f t="shared" si="0"/>
        <v>3.7288801846969255E-2</v>
      </c>
      <c r="AA47">
        <v>35</v>
      </c>
      <c r="AB47">
        <f t="shared" si="1"/>
        <v>0.6108652381980153</v>
      </c>
      <c r="AC47">
        <f t="shared" si="2"/>
        <v>0.57357643635104605</v>
      </c>
    </row>
    <row r="48" spans="1:29">
      <c r="Z48">
        <f t="shared" si="0"/>
        <v>4.0533278425485486E-2</v>
      </c>
      <c r="AA48">
        <v>36</v>
      </c>
      <c r="AB48">
        <f t="shared" si="1"/>
        <v>0.62831853071795862</v>
      </c>
      <c r="AC48">
        <f t="shared" si="2"/>
        <v>0.58778525229247314</v>
      </c>
    </row>
    <row r="49" spans="1:29">
      <c r="A49" s="122" t="s">
        <v>119</v>
      </c>
      <c r="B49">
        <f>IF(B56&gt;0,B57,IF(B41&lt;B42,C12,IF(B40&lt;0,C20,C12)))</f>
        <v>4.9087385212340517E-2</v>
      </c>
      <c r="Z49">
        <f t="shared" si="0"/>
        <v>4.3956800085853676E-2</v>
      </c>
      <c r="AA49">
        <v>37</v>
      </c>
      <c r="AB49">
        <f t="shared" si="1"/>
        <v>0.64577182323790194</v>
      </c>
      <c r="AC49">
        <f t="shared" si="2"/>
        <v>0.60181502315204827</v>
      </c>
    </row>
    <row r="50" spans="1:29">
      <c r="H50" s="44"/>
      <c r="I50" s="44"/>
      <c r="J50" s="44"/>
      <c r="K50" s="44"/>
      <c r="Z50">
        <f t="shared" si="0"/>
        <v>4.7563640432186971E-2</v>
      </c>
      <c r="AA50">
        <v>38</v>
      </c>
      <c r="AB50">
        <f t="shared" si="1"/>
        <v>0.66322511575784515</v>
      </c>
      <c r="AC50">
        <f t="shared" si="2"/>
        <v>0.61566147532565818</v>
      </c>
    </row>
    <row r="51" spans="1:29" ht="18.75">
      <c r="A51" s="123"/>
      <c r="H51" s="45"/>
      <c r="I51" s="11"/>
      <c r="J51" s="11"/>
      <c r="K51" s="45"/>
      <c r="Z51">
        <f t="shared" si="0"/>
        <v>5.135801722795108E-2</v>
      </c>
      <c r="AA51">
        <v>39</v>
      </c>
      <c r="AB51">
        <f t="shared" si="1"/>
        <v>0.68067840827778847</v>
      </c>
      <c r="AC51">
        <f t="shared" si="2"/>
        <v>0.62932039104983739</v>
      </c>
    </row>
    <row r="52" spans="1:29">
      <c r="I52" s="45"/>
      <c r="J52" s="11"/>
      <c r="K52" s="11"/>
      <c r="L52" s="45"/>
      <c r="Z52">
        <f t="shared" si="0"/>
        <v>5.5344091111192539E-2</v>
      </c>
      <c r="AA52">
        <v>40</v>
      </c>
      <c r="AB52">
        <f t="shared" si="1"/>
        <v>0.69813170079773179</v>
      </c>
      <c r="AC52">
        <f t="shared" si="2"/>
        <v>0.64278760968653925</v>
      </c>
    </row>
    <row r="53" spans="1:29">
      <c r="A53" s="54" t="s">
        <v>132</v>
      </c>
      <c r="B53" s="55"/>
      <c r="C53" s="55"/>
      <c r="D53" s="56"/>
      <c r="E53" s="11"/>
      <c r="F53" s="11"/>
      <c r="G53" s="46"/>
      <c r="I53" s="45"/>
      <c r="J53" s="11"/>
      <c r="K53" s="11"/>
      <c r="L53" s="45"/>
      <c r="Z53">
        <f t="shared" si="0"/>
        <v>5.9525964327167835E-2</v>
      </c>
      <c r="AA53">
        <v>41</v>
      </c>
      <c r="AB53">
        <f t="shared" si="1"/>
        <v>0.715584993317675</v>
      </c>
      <c r="AC53">
        <f t="shared" si="2"/>
        <v>0.65605902899050716</v>
      </c>
    </row>
    <row r="54" spans="1:29">
      <c r="A54" s="57" t="s">
        <v>63</v>
      </c>
      <c r="B54" s="58">
        <f>'Riser Inputs and Outputs'!D7</f>
        <v>48</v>
      </c>
      <c r="C54" s="55" t="s">
        <v>4</v>
      </c>
      <c r="D54" s="55"/>
      <c r="E54" s="11"/>
      <c r="F54" s="11"/>
      <c r="G54" s="46"/>
      <c r="I54" s="45"/>
      <c r="J54" s="11"/>
      <c r="K54" s="11"/>
      <c r="L54" s="45"/>
      <c r="Z54">
        <f t="shared" si="0"/>
        <v>6.3907679478760193E-2</v>
      </c>
      <c r="AA54">
        <v>42</v>
      </c>
      <c r="AB54">
        <f t="shared" si="1"/>
        <v>0.73303828583761843</v>
      </c>
      <c r="AC54">
        <f t="shared" si="2"/>
        <v>0.66913060635885824</v>
      </c>
    </row>
    <row r="55" spans="1:29">
      <c r="A55" s="57"/>
      <c r="B55" s="58">
        <f>B54/12</f>
        <v>4</v>
      </c>
      <c r="C55" s="55" t="s">
        <v>5</v>
      </c>
      <c r="D55" s="55"/>
      <c r="E55" s="11"/>
      <c r="F55" s="11"/>
      <c r="G55" s="46"/>
      <c r="I55" s="45"/>
      <c r="J55" s="11"/>
      <c r="K55" s="11"/>
      <c r="L55" s="45"/>
      <c r="Z55">
        <f t="shared" si="0"/>
        <v>6.8493218295063163E-2</v>
      </c>
      <c r="AA55">
        <v>43</v>
      </c>
      <c r="AB55">
        <f t="shared" si="1"/>
        <v>0.75049157835756164</v>
      </c>
      <c r="AC55">
        <f t="shared" si="2"/>
        <v>0.68199836006249848</v>
      </c>
    </row>
    <row r="56" spans="1:29">
      <c r="A56" s="57" t="s">
        <v>133</v>
      </c>
      <c r="B56" s="55" t="str">
        <f>IF(B54&lt;C3*12,0,"Over Channel")</f>
        <v>Over Channel</v>
      </c>
      <c r="C56" s="55" t="s">
        <v>4</v>
      </c>
      <c r="D56" s="55"/>
      <c r="E56" s="11"/>
      <c r="F56" s="11"/>
      <c r="G56" s="46"/>
      <c r="I56" s="45"/>
      <c r="J56" s="11"/>
      <c r="K56" s="11"/>
      <c r="L56" s="45"/>
      <c r="Z56">
        <f t="shared" si="0"/>
        <v>7.3286500418507705E-2</v>
      </c>
      <c r="AA56">
        <v>44</v>
      </c>
      <c r="AB56">
        <f t="shared" si="1"/>
        <v>0.76794487087750496</v>
      </c>
      <c r="AC56">
        <f t="shared" si="2"/>
        <v>0.69465837045899725</v>
      </c>
    </row>
    <row r="57" spans="1:29">
      <c r="A57" s="57" t="s">
        <v>134</v>
      </c>
      <c r="B57" s="55">
        <f>IF(B40&lt;0,C20,C6)</f>
        <v>4.9087385212340517E-2</v>
      </c>
      <c r="C57" s="55" t="s">
        <v>32</v>
      </c>
      <c r="D57" s="55"/>
      <c r="E57" s="11"/>
      <c r="F57" s="11"/>
      <c r="G57" s="46"/>
      <c r="I57" s="45"/>
      <c r="J57" s="11"/>
      <c r="K57" s="11"/>
      <c r="L57" s="45"/>
      <c r="Z57">
        <f t="shared" si="0"/>
        <v>7.8291382210900817E-2</v>
      </c>
      <c r="AA57">
        <v>45</v>
      </c>
      <c r="AB57">
        <f t="shared" si="1"/>
        <v>0.78539816339744828</v>
      </c>
      <c r="AC57">
        <f t="shared" si="2"/>
        <v>0.70710678118654746</v>
      </c>
    </row>
    <row r="58" spans="1:29">
      <c r="A58" s="57"/>
      <c r="B58" s="55"/>
      <c r="C58" s="55"/>
      <c r="D58" s="55"/>
      <c r="E58" s="11"/>
      <c r="F58" s="11"/>
      <c r="G58" s="46"/>
      <c r="I58" s="45"/>
      <c r="J58" s="11"/>
      <c r="K58" s="11"/>
      <c r="L58" s="45"/>
      <c r="Z58">
        <f t="shared" si="0"/>
        <v>8.3511655578740407E-2</v>
      </c>
      <c r="AA58">
        <v>46</v>
      </c>
      <c r="AB58">
        <f t="shared" si="1"/>
        <v>0.80285145591739149</v>
      </c>
      <c r="AC58">
        <f t="shared" si="2"/>
        <v>0.71933980033865108</v>
      </c>
    </row>
    <row r="59" spans="1:29">
      <c r="A59" s="59" t="s">
        <v>97</v>
      </c>
      <c r="B59" s="59" t="str">
        <f>IF(B56=0,0,"Above Channel")</f>
        <v>Above Channel</v>
      </c>
      <c r="C59" s="59" t="s">
        <v>168</v>
      </c>
      <c r="D59" s="59">
        <f>IF(B40&lt;0,D44,L59*B57*(2*C36*B55)^0.5)</f>
        <v>0.5514940967505978</v>
      </c>
      <c r="E59" s="16" t="s">
        <v>123</v>
      </c>
      <c r="F59" s="16"/>
      <c r="G59" s="16"/>
      <c r="H59" s="16"/>
      <c r="I59" s="16" t="s">
        <v>100</v>
      </c>
      <c r="J59" s="16"/>
      <c r="K59" s="16"/>
      <c r="L59" s="16">
        <f>'Riser Inputs and Outputs'!B21</f>
        <v>0.7</v>
      </c>
      <c r="Z59">
        <f t="shared" si="0"/>
        <v>8.8951046818164459E-2</v>
      </c>
      <c r="AA59">
        <v>47</v>
      </c>
      <c r="AB59">
        <f t="shared" si="1"/>
        <v>0.82030474843733492</v>
      </c>
      <c r="AC59">
        <f t="shared" si="2"/>
        <v>0.73135370161917046</v>
      </c>
    </row>
    <row r="60" spans="1:29">
      <c r="A60" s="44"/>
      <c r="E60" s="11"/>
      <c r="F60" s="11"/>
      <c r="G60" s="46"/>
      <c r="I60" s="45"/>
      <c r="J60" s="11"/>
      <c r="K60" s="11"/>
      <c r="L60" s="45"/>
      <c r="Z60">
        <f t="shared" si="0"/>
        <v>9.4613215479883994E-2</v>
      </c>
      <c r="AA60">
        <v>48</v>
      </c>
      <c r="AB60">
        <f t="shared" si="1"/>
        <v>0.83775804095727813</v>
      </c>
      <c r="AC60">
        <f t="shared" si="2"/>
        <v>0.74314482547739413</v>
      </c>
    </row>
    <row r="61" spans="1:29">
      <c r="A61" s="44"/>
      <c r="E61" s="11"/>
      <c r="F61" s="11"/>
      <c r="G61" s="46"/>
      <c r="I61" s="45"/>
      <c r="J61" s="11"/>
      <c r="K61" s="11"/>
      <c r="L61" s="45"/>
      <c r="Z61">
        <f t="shared" si="0"/>
        <v>0.10050175325444943</v>
      </c>
      <c r="AA61">
        <v>49</v>
      </c>
      <c r="AB61">
        <f t="shared" si="1"/>
        <v>0.85521133347722145</v>
      </c>
      <c r="AC61">
        <f t="shared" si="2"/>
        <v>0.75470958022277201</v>
      </c>
    </row>
    <row r="62" spans="1:29">
      <c r="A62" s="44"/>
      <c r="E62" s="11"/>
      <c r="F62" s="11"/>
      <c r="G62" s="46"/>
      <c r="I62" s="45"/>
      <c r="J62" s="11"/>
      <c r="K62" s="11"/>
      <c r="L62" s="45"/>
      <c r="Z62">
        <f t="shared" si="0"/>
        <v>0.10662018287818675</v>
      </c>
      <c r="AA62">
        <v>50</v>
      </c>
      <c r="AB62">
        <f t="shared" si="1"/>
        <v>0.87266462599716477</v>
      </c>
      <c r="AC62">
        <f t="shared" si="2"/>
        <v>0.76604444311897801</v>
      </c>
    </row>
    <row r="63" spans="1:29">
      <c r="A63" s="44"/>
      <c r="E63" s="11"/>
      <c r="F63" s="11"/>
      <c r="G63" s="46"/>
      <c r="I63" s="45"/>
      <c r="J63" s="11"/>
      <c r="K63" s="11"/>
      <c r="L63" s="45"/>
      <c r="Z63">
        <f t="shared" si="0"/>
        <v>0.11297195706013718</v>
      </c>
      <c r="AA63">
        <v>51</v>
      </c>
      <c r="AB63">
        <f t="shared" si="1"/>
        <v>0.89011791851710798</v>
      </c>
      <c r="AC63">
        <f t="shared" si="2"/>
        <v>0.77714596145697079</v>
      </c>
    </row>
    <row r="64" spans="1:29">
      <c r="A64" s="44"/>
      <c r="E64" s="11"/>
      <c r="F64" s="11"/>
      <c r="G64" s="46"/>
      <c r="I64" s="45"/>
      <c r="J64" s="11"/>
      <c r="K64" s="11"/>
      <c r="L64" s="45"/>
      <c r="Z64">
        <f t="shared" si="0"/>
        <v>0.11956045743032939</v>
      </c>
      <c r="AA64">
        <v>52</v>
      </c>
      <c r="AB64">
        <f t="shared" si="1"/>
        <v>0.90757121103705141</v>
      </c>
      <c r="AC64">
        <f t="shared" si="2"/>
        <v>0.78801075360672201</v>
      </c>
    </row>
    <row r="65" spans="1:29">
      <c r="A65" s="44"/>
      <c r="E65" s="11"/>
      <c r="F65" s="11"/>
      <c r="G65" s="46"/>
      <c r="I65" s="45"/>
      <c r="J65" s="11"/>
      <c r="K65" s="11"/>
      <c r="L65" s="45"/>
      <c r="Z65">
        <f t="shared" si="0"/>
        <v>0.12638899350970179</v>
      </c>
      <c r="AA65">
        <v>53</v>
      </c>
      <c r="AB65">
        <f t="shared" si="1"/>
        <v>0.92502450355699462</v>
      </c>
      <c r="AC65">
        <f t="shared" si="2"/>
        <v>0.79863551004729283</v>
      </c>
    </row>
    <row r="66" spans="1:29">
      <c r="A66" s="10" t="s">
        <v>264</v>
      </c>
      <c r="B66" s="3"/>
      <c r="C66" s="3"/>
      <c r="D66" s="3"/>
      <c r="F66" s="11"/>
      <c r="G66" s="46"/>
      <c r="I66" s="45"/>
      <c r="J66" s="11"/>
      <c r="K66" s="11"/>
      <c r="L66" s="45"/>
      <c r="Z66">
        <f t="shared" si="0"/>
        <v>0.13346080170199048</v>
      </c>
      <c r="AA66">
        <v>54</v>
      </c>
      <c r="AB66">
        <f t="shared" si="1"/>
        <v>0.94247779607693793</v>
      </c>
      <c r="AC66">
        <f t="shared" si="2"/>
        <v>0.80901699437494745</v>
      </c>
    </row>
    <row r="67" spans="1:29">
      <c r="A67" s="3" t="s">
        <v>88</v>
      </c>
      <c r="B67" s="3" t="s">
        <v>64</v>
      </c>
      <c r="C67" s="264">
        <f>'Riser Inputs and Outputs'!D19</f>
        <v>24</v>
      </c>
      <c r="D67" s="3" t="s">
        <v>5</v>
      </c>
      <c r="E67" s="42" t="s">
        <v>125</v>
      </c>
      <c r="F67" s="11"/>
      <c r="G67" s="46"/>
      <c r="I67" s="45"/>
      <c r="J67" s="11"/>
      <c r="K67" s="11"/>
      <c r="L67" s="45"/>
      <c r="Z67">
        <f t="shared" si="0"/>
        <v>0.14077904430788946</v>
      </c>
      <c r="AA67">
        <v>55</v>
      </c>
      <c r="AB67">
        <f t="shared" si="1"/>
        <v>0.95993108859688125</v>
      </c>
      <c r="AC67">
        <f t="shared" si="2"/>
        <v>0.8191520442889918</v>
      </c>
    </row>
    <row r="68" spans="1:29">
      <c r="A68" s="3" t="s">
        <v>87</v>
      </c>
      <c r="B68" s="3"/>
      <c r="C68" s="3" t="e">
        <f>2*ACOS((C54-C67)/C54)</f>
        <v>#VALUE!</v>
      </c>
      <c r="D68" s="3" t="s">
        <v>29</v>
      </c>
      <c r="F68" s="11"/>
      <c r="G68" s="46"/>
      <c r="I68" s="45"/>
      <c r="J68" s="11"/>
      <c r="K68" s="11"/>
      <c r="L68" s="45"/>
      <c r="Z68">
        <f t="shared" si="0"/>
        <v>0.14834680856178284</v>
      </c>
      <c r="AA68">
        <v>56</v>
      </c>
      <c r="AB68">
        <f t="shared" si="1"/>
        <v>0.97738438111682457</v>
      </c>
      <c r="AC68">
        <f t="shared" si="2"/>
        <v>0.82903757255504174</v>
      </c>
    </row>
    <row r="69" spans="1:29">
      <c r="A69" s="3"/>
      <c r="B69" s="3"/>
      <c r="C69" s="3" t="e">
        <f>C68*180/PI()</f>
        <v>#VALUE!</v>
      </c>
      <c r="D69" s="3" t="s">
        <v>9</v>
      </c>
      <c r="F69" s="11"/>
      <c r="G69" s="46"/>
      <c r="I69" s="45"/>
      <c r="J69" s="11"/>
      <c r="K69" s="11"/>
      <c r="L69" s="45"/>
      <c r="Z69">
        <f t="shared" si="0"/>
        <v>0.15616710569134384</v>
      </c>
      <c r="AA69">
        <v>57</v>
      </c>
      <c r="AB69">
        <f t="shared" si="1"/>
        <v>0.99483767363676778</v>
      </c>
      <c r="AC69">
        <f t="shared" si="2"/>
        <v>0.83867056794542394</v>
      </c>
    </row>
    <row r="70" spans="1:29">
      <c r="A70" s="3" t="s">
        <v>121</v>
      </c>
      <c r="B70" s="3"/>
      <c r="C70" s="3" t="e">
        <f>C54^2*(C68-SIN(C68))/2</f>
        <v>#VALUE!</v>
      </c>
      <c r="D70" s="3" t="s">
        <v>32</v>
      </c>
      <c r="F70" s="11"/>
      <c r="G70" s="46"/>
      <c r="I70" s="45"/>
      <c r="J70" s="11"/>
      <c r="K70" s="11"/>
      <c r="L70" s="45"/>
      <c r="Z70">
        <f t="shared" si="0"/>
        <v>0.16424287000028526</v>
      </c>
      <c r="AA70">
        <v>58</v>
      </c>
      <c r="AB70">
        <f t="shared" si="1"/>
        <v>1.0122909661567112</v>
      </c>
      <c r="AC70">
        <f t="shared" si="2"/>
        <v>0.84804809615642596</v>
      </c>
    </row>
    <row r="71" spans="1:29">
      <c r="A71" s="3" t="s">
        <v>89</v>
      </c>
      <c r="B71" s="3"/>
      <c r="C71" s="3" t="str">
        <f>IF(C55&gt;C53,C56,C62-C70)</f>
        <v>inches</v>
      </c>
      <c r="D71" s="3" t="s">
        <v>32</v>
      </c>
      <c r="F71" s="11"/>
      <c r="G71" s="46"/>
      <c r="I71" s="45"/>
      <c r="J71" s="11"/>
      <c r="K71" s="11"/>
      <c r="L71" s="45"/>
      <c r="Z71">
        <f t="shared" si="0"/>
        <v>0.17257695797454209</v>
      </c>
      <c r="AA71">
        <v>59</v>
      </c>
      <c r="AB71">
        <f t="shared" si="1"/>
        <v>1.0297442586766543</v>
      </c>
      <c r="AC71">
        <f t="shared" si="2"/>
        <v>0.85716730070211222</v>
      </c>
    </row>
    <row r="72" spans="1:29">
      <c r="A72" s="44"/>
      <c r="E72" s="11"/>
      <c r="F72" s="11"/>
      <c r="G72" s="46"/>
      <c r="I72" s="45"/>
      <c r="J72" s="11"/>
      <c r="K72" s="11"/>
      <c r="L72" s="45"/>
      <c r="Z72">
        <f t="shared" si="0"/>
        <v>0.18117214741215903</v>
      </c>
      <c r="AA72">
        <v>60</v>
      </c>
      <c r="AB72">
        <f t="shared" si="1"/>
        <v>1.0471975511965976</v>
      </c>
      <c r="AC72">
        <f t="shared" si="2"/>
        <v>0.8660254037844386</v>
      </c>
    </row>
    <row r="73" spans="1:29">
      <c r="A73" s="44"/>
      <c r="E73" s="11"/>
      <c r="F73" s="11"/>
      <c r="G73" s="46"/>
      <c r="I73" s="45"/>
      <c r="J73" s="11"/>
      <c r="K73" s="11"/>
      <c r="L73" s="45"/>
      <c r="Z73">
        <f t="shared" si="0"/>
        <v>0.19003113657714521</v>
      </c>
      <c r="AA73">
        <v>61</v>
      </c>
      <c r="AB73">
        <f t="shared" si="1"/>
        <v>1.064650843716541</v>
      </c>
      <c r="AC73">
        <f t="shared" si="2"/>
        <v>0.87461970713939574</v>
      </c>
    </row>
    <row r="74" spans="1:29">
      <c r="A74" s="44"/>
      <c r="E74" s="11"/>
      <c r="F74" s="11"/>
      <c r="G74" s="46"/>
      <c r="I74" s="45"/>
      <c r="J74" s="11"/>
      <c r="K74" s="11"/>
      <c r="L74" s="45"/>
      <c r="Z74">
        <f t="shared" si="0"/>
        <v>0.19915654337755739</v>
      </c>
      <c r="AA74">
        <v>62</v>
      </c>
      <c r="AB74">
        <f t="shared" si="1"/>
        <v>1.0821041362364843</v>
      </c>
      <c r="AC74">
        <f t="shared" si="2"/>
        <v>0.88294759285892688</v>
      </c>
    </row>
    <row r="75" spans="1:29">
      <c r="A75" s="44"/>
      <c r="E75" s="11"/>
      <c r="F75" s="11"/>
      <c r="G75" s="46"/>
      <c r="I75" s="45"/>
      <c r="J75" s="11"/>
      <c r="K75" s="11"/>
      <c r="L75" s="45"/>
      <c r="Z75">
        <f t="shared" si="0"/>
        <v>0.2085509045680598</v>
      </c>
      <c r="AA75">
        <v>63</v>
      </c>
      <c r="AB75">
        <f t="shared" si="1"/>
        <v>1.0995574287564276</v>
      </c>
      <c r="AC75">
        <f t="shared" si="2"/>
        <v>0.89100652418836779</v>
      </c>
    </row>
    <row r="76" spans="1:29">
      <c r="A76" s="44"/>
      <c r="E76" s="11"/>
      <c r="F76" s="11"/>
      <c r="G76" s="46"/>
      <c r="I76" s="45"/>
      <c r="J76" s="11"/>
      <c r="K76" s="11"/>
      <c r="L76" s="45"/>
      <c r="Z76">
        <f t="shared" si="0"/>
        <v>0.21821667497720387</v>
      </c>
      <c r="AA76">
        <v>64</v>
      </c>
      <c r="AB76">
        <f t="shared" si="1"/>
        <v>1.1170107212763709</v>
      </c>
      <c r="AC76">
        <f t="shared" si="2"/>
        <v>0.89879404629916704</v>
      </c>
    </row>
    <row r="77" spans="1:29">
      <c r="A77" s="44"/>
      <c r="E77" s="11"/>
      <c r="F77" s="11"/>
      <c r="G77" s="46"/>
      <c r="I77" s="45"/>
      <c r="J77" s="11"/>
      <c r="K77" s="11"/>
      <c r="L77" s="45"/>
      <c r="Z77">
        <f t="shared" ref="Z77:Z140" si="3">AB77-SIN(AB77)</f>
        <v>0.22815622675966429</v>
      </c>
      <c r="AA77">
        <v>65</v>
      </c>
      <c r="AB77">
        <f t="shared" ref="AB77:AB140" si="4">AA77*PI()/180</f>
        <v>1.1344640137963142</v>
      </c>
      <c r="AC77">
        <f t="shared" ref="AC77:AC140" si="5">SIN(AB77)</f>
        <v>0.90630778703664994</v>
      </c>
    </row>
    <row r="78" spans="1:29">
      <c r="A78" s="44"/>
      <c r="E78" s="11"/>
      <c r="F78" s="11"/>
      <c r="G78" s="46"/>
      <c r="I78" s="45"/>
      <c r="J78" s="11"/>
      <c r="K78" s="11"/>
      <c r="L78" s="45"/>
      <c r="Z78">
        <f t="shared" si="3"/>
        <v>0.23837184867365668</v>
      </c>
      <c r="AA78">
        <v>66</v>
      </c>
      <c r="AB78">
        <f t="shared" si="4"/>
        <v>1.1519173063162575</v>
      </c>
      <c r="AC78">
        <f t="shared" si="5"/>
        <v>0.91354545764260087</v>
      </c>
    </row>
    <row r="79" spans="1:29">
      <c r="A79" s="44"/>
      <c r="E79" s="11"/>
      <c r="F79" s="11"/>
      <c r="G79" s="46"/>
      <c r="I79" s="45"/>
      <c r="J79" s="11"/>
      <c r="K79" s="11"/>
      <c r="L79" s="45"/>
      <c r="Z79">
        <f t="shared" si="3"/>
        <v>0.24886574538376038</v>
      </c>
      <c r="AA79">
        <v>67</v>
      </c>
      <c r="AB79">
        <f t="shared" si="4"/>
        <v>1.1693705988362006</v>
      </c>
      <c r="AC79">
        <f t="shared" si="5"/>
        <v>0.92050485345244026</v>
      </c>
    </row>
    <row r="80" spans="1:29">
      <c r="A80" s="44"/>
      <c r="E80" s="11"/>
      <c r="F80" s="11"/>
      <c r="G80" s="46"/>
      <c r="I80" s="45"/>
      <c r="J80" s="11"/>
      <c r="K80" s="11"/>
      <c r="L80" s="45"/>
      <c r="Z80">
        <f t="shared" si="3"/>
        <v>0.25964003678935677</v>
      </c>
      <c r="AA80">
        <v>68</v>
      </c>
      <c r="AB80">
        <f t="shared" si="4"/>
        <v>1.1868238913561442</v>
      </c>
      <c r="AC80">
        <f t="shared" si="5"/>
        <v>0.92718385456678742</v>
      </c>
    </row>
    <row r="81" spans="1:29">
      <c r="A81" s="44"/>
      <c r="E81" s="11"/>
      <c r="F81" s="11"/>
      <c r="G81" s="46"/>
      <c r="I81" s="45"/>
      <c r="J81" s="11"/>
      <c r="K81" s="11"/>
      <c r="L81" s="45"/>
      <c r="Z81">
        <f t="shared" si="3"/>
        <v>0.27069675737888554</v>
      </c>
      <c r="AA81">
        <v>69</v>
      </c>
      <c r="AB81">
        <f t="shared" si="4"/>
        <v>1.2042771838760873</v>
      </c>
      <c r="AC81">
        <f t="shared" si="5"/>
        <v>0.93358042649720174</v>
      </c>
    </row>
    <row r="82" spans="1:29">
      <c r="A82" s="44"/>
      <c r="E82" s="11"/>
      <c r="F82" s="11"/>
      <c r="G82" s="46"/>
      <c r="I82" s="45"/>
      <c r="J82" s="11"/>
      <c r="K82" s="11"/>
      <c r="L82" s="45"/>
      <c r="Z82">
        <f t="shared" si="3"/>
        <v>0.28203785561012229</v>
      </c>
      <c r="AA82">
        <v>70</v>
      </c>
      <c r="AB82">
        <f t="shared" si="4"/>
        <v>1.2217304763960306</v>
      </c>
      <c r="AC82">
        <f t="shared" si="5"/>
        <v>0.93969262078590832</v>
      </c>
    </row>
    <row r="83" spans="1:29">
      <c r="A83" s="44"/>
      <c r="E83" s="11"/>
      <c r="F83" s="11"/>
      <c r="G83" s="46"/>
      <c r="I83" s="45"/>
      <c r="J83" s="11"/>
      <c r="K83" s="11"/>
      <c r="L83" s="45"/>
      <c r="Z83">
        <f t="shared" si="3"/>
        <v>0.29366519331665719</v>
      </c>
      <c r="AA83">
        <v>71</v>
      </c>
      <c r="AB83">
        <f t="shared" si="4"/>
        <v>1.2391837689159739</v>
      </c>
      <c r="AC83">
        <f t="shared" si="5"/>
        <v>0.94551857559931674</v>
      </c>
    </row>
    <row r="84" spans="1:29">
      <c r="A84" s="44"/>
      <c r="E84" s="11"/>
      <c r="F84" s="11"/>
      <c r="G84" s="46"/>
      <c r="I84" s="45"/>
      <c r="J84" s="11"/>
      <c r="K84" s="11"/>
      <c r="L84" s="45"/>
      <c r="Z84">
        <f t="shared" si="3"/>
        <v>0.30558054514076372</v>
      </c>
      <c r="AA84">
        <v>72</v>
      </c>
      <c r="AB84">
        <f t="shared" si="4"/>
        <v>1.2566370614359172</v>
      </c>
      <c r="AC84">
        <f t="shared" si="5"/>
        <v>0.95105651629515353</v>
      </c>
    </row>
    <row r="85" spans="1:29">
      <c r="A85" s="44"/>
      <c r="E85" s="11"/>
      <c r="F85" s="11"/>
      <c r="G85" s="46"/>
      <c r="I85" s="45"/>
      <c r="J85" s="11"/>
      <c r="K85" s="11"/>
      <c r="L85" s="45"/>
      <c r="Z85">
        <f t="shared" si="3"/>
        <v>0.31778559799282513</v>
      </c>
      <c r="AA85">
        <v>73</v>
      </c>
      <c r="AB85">
        <f t="shared" si="4"/>
        <v>1.2740903539558606</v>
      </c>
      <c r="AC85">
        <f t="shared" si="5"/>
        <v>0.95630475596303544</v>
      </c>
    </row>
    <row r="86" spans="1:29">
      <c r="A86" s="44"/>
      <c r="E86" s="11"/>
      <c r="F86" s="11"/>
      <c r="G86" s="46"/>
      <c r="I86" s="45"/>
      <c r="J86" s="11"/>
      <c r="K86" s="11"/>
      <c r="L86" s="45"/>
      <c r="Z86">
        <f t="shared" si="3"/>
        <v>0.33028195053748499</v>
      </c>
      <c r="AA86">
        <v>74</v>
      </c>
      <c r="AB86">
        <f t="shared" si="4"/>
        <v>1.2915436464758039</v>
      </c>
      <c r="AC86">
        <f t="shared" si="5"/>
        <v>0.96126169593831889</v>
      </c>
    </row>
    <row r="87" spans="1:29">
      <c r="A87" s="44"/>
      <c r="E87" s="11"/>
      <c r="F87" s="11"/>
      <c r="G87" s="46"/>
      <c r="Z87">
        <f t="shared" si="3"/>
        <v>0.34307111270667889</v>
      </c>
      <c r="AA87">
        <v>75</v>
      </c>
      <c r="AB87">
        <f t="shared" si="4"/>
        <v>1.3089969389957472</v>
      </c>
      <c r="AC87">
        <f t="shared" si="5"/>
        <v>0.96592582628906831</v>
      </c>
    </row>
    <row r="88" spans="1:29">
      <c r="A88" s="44"/>
      <c r="E88" s="11"/>
      <c r="F88" s="11"/>
      <c r="G88" s="46"/>
      <c r="Z88">
        <f t="shared" si="3"/>
        <v>0.35615450523969383</v>
      </c>
      <c r="AA88">
        <v>76</v>
      </c>
      <c r="AB88">
        <f t="shared" si="4"/>
        <v>1.3264502315156903</v>
      </c>
      <c r="AC88">
        <f t="shared" si="5"/>
        <v>0.97029572627599647</v>
      </c>
    </row>
    <row r="89" spans="1:29">
      <c r="A89" s="44"/>
      <c r="E89" s="11"/>
      <c r="F89" s="11"/>
      <c r="G89" s="46"/>
      <c r="Z89">
        <f t="shared" si="3"/>
        <v>0.3695334592503986</v>
      </c>
      <c r="AA89">
        <v>77</v>
      </c>
      <c r="AB89">
        <f t="shared" si="4"/>
        <v>1.3439035240356338</v>
      </c>
      <c r="AC89">
        <f t="shared" si="5"/>
        <v>0.97437006478523525</v>
      </c>
    </row>
    <row r="90" spans="1:29">
      <c r="A90" s="44"/>
      <c r="E90" s="11"/>
      <c r="F90" s="11"/>
      <c r="G90" s="46"/>
      <c r="Z90">
        <f t="shared" si="3"/>
        <v>0.38320921582177137</v>
      </c>
      <c r="AA90">
        <v>78</v>
      </c>
      <c r="AB90">
        <f t="shared" si="4"/>
        <v>1.3613568165555769</v>
      </c>
      <c r="AC90">
        <f t="shared" si="5"/>
        <v>0.97814760073380558</v>
      </c>
    </row>
    <row r="91" spans="1:29">
      <c r="A91" s="44"/>
      <c r="E91" s="11"/>
      <c r="F91" s="11"/>
      <c r="G91" s="46"/>
      <c r="Z91">
        <f t="shared" si="3"/>
        <v>0.39718292562785629</v>
      </c>
      <c r="AA91">
        <v>79</v>
      </c>
      <c r="AB91">
        <f t="shared" si="4"/>
        <v>1.3788101090755203</v>
      </c>
      <c r="AC91">
        <f t="shared" si="5"/>
        <v>0.98162718344766398</v>
      </c>
    </row>
    <row r="92" spans="1:29">
      <c r="Z92">
        <f t="shared" si="3"/>
        <v>0.41145564858325556</v>
      </c>
      <c r="AA92">
        <v>80</v>
      </c>
      <c r="AB92">
        <f t="shared" si="4"/>
        <v>1.3962634015954636</v>
      </c>
      <c r="AC92">
        <f t="shared" si="5"/>
        <v>0.98480775301220802</v>
      </c>
    </row>
    <row r="93" spans="1:29">
      <c r="Z93">
        <f t="shared" si="3"/>
        <v>0.42602835352026913</v>
      </c>
      <c r="AA93">
        <v>81</v>
      </c>
      <c r="AB93">
        <f t="shared" si="4"/>
        <v>1.4137166941154069</v>
      </c>
      <c r="AC93">
        <f t="shared" si="5"/>
        <v>0.98768834059513777</v>
      </c>
    </row>
    <row r="94" spans="1:29">
      <c r="Z94">
        <f t="shared" si="3"/>
        <v>0.44090191789377975</v>
      </c>
      <c r="AA94">
        <v>82</v>
      </c>
      <c r="AB94">
        <f t="shared" si="4"/>
        <v>1.43116998663535</v>
      </c>
      <c r="AC94">
        <f t="shared" si="5"/>
        <v>0.99026806874157025</v>
      </c>
    </row>
    <row r="95" spans="1:29">
      <c r="Z95">
        <f t="shared" si="3"/>
        <v>0.45607712751397156</v>
      </c>
      <c r="AA95">
        <v>83</v>
      </c>
      <c r="AB95">
        <f t="shared" si="4"/>
        <v>1.4486232791552935</v>
      </c>
      <c r="AC95">
        <f t="shared" si="5"/>
        <v>0.99254615164132198</v>
      </c>
    </row>
    <row r="96" spans="1:29">
      <c r="Z96">
        <f t="shared" si="3"/>
        <v>0.47155467630696357</v>
      </c>
      <c r="AA96">
        <v>84</v>
      </c>
      <c r="AB96">
        <f t="shared" si="4"/>
        <v>1.4660765716752369</v>
      </c>
      <c r="AC96">
        <f t="shared" si="5"/>
        <v>0.99452189536827329</v>
      </c>
    </row>
    <row r="97" spans="26:29">
      <c r="Z97">
        <f t="shared" si="3"/>
        <v>0.48733516610343464</v>
      </c>
      <c r="AA97">
        <v>85</v>
      </c>
      <c r="AB97">
        <f t="shared" si="4"/>
        <v>1.4835298641951802</v>
      </c>
      <c r="AC97">
        <f t="shared" si="5"/>
        <v>0.99619469809174555</v>
      </c>
    </row>
    <row r="98" spans="26:29">
      <c r="Z98">
        <f t="shared" si="3"/>
        <v>0.50341910645529908</v>
      </c>
      <c r="AA98">
        <v>86</v>
      </c>
      <c r="AB98">
        <f t="shared" si="4"/>
        <v>1.5009831567151233</v>
      </c>
      <c r="AC98">
        <f t="shared" si="5"/>
        <v>0.9975640502598242</v>
      </c>
    </row>
    <row r="99" spans="26:29">
      <c r="Z99">
        <f t="shared" si="3"/>
        <v>0.51980691448049277</v>
      </c>
      <c r="AA99">
        <v>87</v>
      </c>
      <c r="AB99">
        <f t="shared" si="4"/>
        <v>1.5184364492350666</v>
      </c>
      <c r="AC99">
        <f t="shared" si="5"/>
        <v>0.99862953475457383</v>
      </c>
    </row>
    <row r="100" spans="26:29">
      <c r="Z100">
        <f t="shared" si="3"/>
        <v>0.53649891473591416</v>
      </c>
      <c r="AA100">
        <v>88</v>
      </c>
      <c r="AB100">
        <f t="shared" si="4"/>
        <v>1.5358897417550099</v>
      </c>
      <c r="AC100">
        <f t="shared" si="5"/>
        <v>0.99939082701909576</v>
      </c>
    </row>
    <row r="101" spans="26:29">
      <c r="Z101">
        <f t="shared" si="3"/>
        <v>0.55349533911856219</v>
      </c>
      <c r="AA101">
        <v>89</v>
      </c>
      <c r="AB101">
        <f t="shared" si="4"/>
        <v>1.5533430342749535</v>
      </c>
      <c r="AC101">
        <f t="shared" si="5"/>
        <v>0.99984769515639127</v>
      </c>
    </row>
    <row r="102" spans="26:29">
      <c r="Z102">
        <f t="shared" si="3"/>
        <v>0.57079632679489656</v>
      </c>
      <c r="AA102">
        <v>90</v>
      </c>
      <c r="AB102">
        <f t="shared" si="4"/>
        <v>1.5707963267948966</v>
      </c>
      <c r="AC102">
        <f t="shared" si="5"/>
        <v>1</v>
      </c>
    </row>
    <row r="103" spans="26:29">
      <c r="Z103">
        <f t="shared" si="3"/>
        <v>0.58840192415844861</v>
      </c>
      <c r="AA103">
        <v>91</v>
      </c>
      <c r="AB103">
        <f t="shared" si="4"/>
        <v>1.5882496193148399</v>
      </c>
      <c r="AC103">
        <f t="shared" si="5"/>
        <v>0.99984769515639127</v>
      </c>
    </row>
    <row r="104" spans="26:29">
      <c r="Z104">
        <f t="shared" si="3"/>
        <v>0.60631208481568721</v>
      </c>
      <c r="AA104">
        <v>92</v>
      </c>
      <c r="AB104">
        <f t="shared" si="4"/>
        <v>1.605702911834783</v>
      </c>
      <c r="AC104">
        <f t="shared" si="5"/>
        <v>0.99939082701909576</v>
      </c>
    </row>
    <row r="105" spans="26:29">
      <c r="Z105">
        <f t="shared" si="3"/>
        <v>0.62452666960015246</v>
      </c>
      <c r="AA105">
        <v>93</v>
      </c>
      <c r="AB105">
        <f t="shared" si="4"/>
        <v>1.6231562043547263</v>
      </c>
      <c r="AC105">
        <f t="shared" si="5"/>
        <v>0.99862953475457383</v>
      </c>
    </row>
    <row r="106" spans="26:29">
      <c r="Z106">
        <f t="shared" si="3"/>
        <v>0.64304544661484564</v>
      </c>
      <c r="AA106">
        <v>94</v>
      </c>
      <c r="AB106">
        <f t="shared" si="4"/>
        <v>1.6406094968746698</v>
      </c>
      <c r="AC106">
        <f t="shared" si="5"/>
        <v>0.9975640502598242</v>
      </c>
    </row>
    <row r="107" spans="26:29">
      <c r="Z107">
        <f t="shared" si="3"/>
        <v>0.66186809130286761</v>
      </c>
      <c r="AA107">
        <v>95</v>
      </c>
      <c r="AB107">
        <f t="shared" si="4"/>
        <v>1.6580627893946132</v>
      </c>
      <c r="AC107">
        <f t="shared" si="5"/>
        <v>0.99619469809174555</v>
      </c>
    </row>
    <row r="108" spans="26:29">
      <c r="Z108">
        <f t="shared" si="3"/>
        <v>0.68099418654628285</v>
      </c>
      <c r="AA108">
        <v>96</v>
      </c>
      <c r="AB108">
        <f t="shared" si="4"/>
        <v>1.6755160819145563</v>
      </c>
      <c r="AC108">
        <f t="shared" si="5"/>
        <v>0.9945218953682734</v>
      </c>
    </row>
    <row r="109" spans="26:29">
      <c r="Z109">
        <f t="shared" si="3"/>
        <v>0.70042322279317748</v>
      </c>
      <c r="AA109">
        <v>97</v>
      </c>
      <c r="AB109">
        <f t="shared" si="4"/>
        <v>1.6929693744344996</v>
      </c>
      <c r="AC109">
        <f t="shared" si="5"/>
        <v>0.99254615164132209</v>
      </c>
    </row>
    <row r="110" spans="26:29">
      <c r="Z110">
        <f t="shared" si="3"/>
        <v>0.72015459821287253</v>
      </c>
      <c r="AA110">
        <v>98</v>
      </c>
      <c r="AB110">
        <f t="shared" si="4"/>
        <v>1.7104226669544429</v>
      </c>
      <c r="AC110">
        <f t="shared" si="5"/>
        <v>0.99026806874157036</v>
      </c>
    </row>
    <row r="111" spans="26:29">
      <c r="Z111">
        <f t="shared" si="3"/>
        <v>0.74018761887924878</v>
      </c>
      <c r="AA111">
        <v>99</v>
      </c>
      <c r="AB111">
        <f t="shared" si="4"/>
        <v>1.7278759594743864</v>
      </c>
      <c r="AC111">
        <f t="shared" si="5"/>
        <v>0.98768834059513766</v>
      </c>
    </row>
    <row r="112" spans="26:29">
      <c r="Z112">
        <f t="shared" si="3"/>
        <v>0.76052149898212151</v>
      </c>
      <c r="AA112">
        <v>100</v>
      </c>
      <c r="AB112">
        <f t="shared" si="4"/>
        <v>1.7453292519943295</v>
      </c>
      <c r="AC112">
        <f t="shared" si="5"/>
        <v>0.98480775301220802</v>
      </c>
    </row>
    <row r="113" spans="26:29">
      <c r="Z113">
        <f t="shared" si="3"/>
        <v>0.78115536106660888</v>
      </c>
      <c r="AA113">
        <v>101</v>
      </c>
      <c r="AB113">
        <f t="shared" si="4"/>
        <v>1.7627825445142729</v>
      </c>
      <c r="AC113">
        <f t="shared" si="5"/>
        <v>0.98162718344766398</v>
      </c>
    </row>
    <row r="114" spans="26:29">
      <c r="Z114">
        <f t="shared" si="3"/>
        <v>0.80208823630041026</v>
      </c>
      <c r="AA114">
        <v>102</v>
      </c>
      <c r="AB114">
        <f t="shared" si="4"/>
        <v>1.780235837034216</v>
      </c>
      <c r="AC114">
        <f t="shared" si="5"/>
        <v>0.97814760073380569</v>
      </c>
    </row>
    <row r="115" spans="26:29">
      <c r="Z115">
        <f t="shared" si="3"/>
        <v>0.82331906476892402</v>
      </c>
      <c r="AA115">
        <v>103</v>
      </c>
      <c r="AB115">
        <f t="shared" si="4"/>
        <v>1.7976891295541593</v>
      </c>
      <c r="AC115">
        <f t="shared" si="5"/>
        <v>0.97437006478523525</v>
      </c>
    </row>
    <row r="116" spans="26:29">
      <c r="Z116">
        <f t="shared" si="3"/>
        <v>0.84484669579810634</v>
      </c>
      <c r="AA116">
        <v>104</v>
      </c>
      <c r="AB116">
        <f t="shared" si="4"/>
        <v>1.8151424220741028</v>
      </c>
      <c r="AC116">
        <f t="shared" si="5"/>
        <v>0.97029572627599647</v>
      </c>
    </row>
    <row r="117" spans="26:29">
      <c r="Z117">
        <f t="shared" si="3"/>
        <v>0.86666988830497782</v>
      </c>
      <c r="AA117">
        <v>105</v>
      </c>
      <c r="AB117">
        <f t="shared" si="4"/>
        <v>1.8325957145940461</v>
      </c>
      <c r="AC117">
        <f t="shared" si="5"/>
        <v>0.96592582628906831</v>
      </c>
    </row>
    <row r="118" spans="26:29">
      <c r="Z118">
        <f t="shared" si="3"/>
        <v>0.88878731117567034</v>
      </c>
      <c r="AA118">
        <v>106</v>
      </c>
      <c r="AB118">
        <f t="shared" si="4"/>
        <v>1.8500490071139892</v>
      </c>
      <c r="AC118">
        <f t="shared" si="5"/>
        <v>0.96126169593831889</v>
      </c>
    </row>
    <row r="119" spans="26:29">
      <c r="Z119">
        <f t="shared" si="3"/>
        <v>0.911197543670897</v>
      </c>
      <c r="AA119">
        <v>107</v>
      </c>
      <c r="AB119">
        <f t="shared" si="4"/>
        <v>1.8675022996339325</v>
      </c>
      <c r="AC119">
        <f t="shared" si="5"/>
        <v>0.95630475596303555</v>
      </c>
    </row>
    <row r="120" spans="26:29">
      <c r="Z120">
        <f t="shared" si="3"/>
        <v>0.93389907585872223</v>
      </c>
      <c r="AA120">
        <v>108</v>
      </c>
      <c r="AB120">
        <f t="shared" si="4"/>
        <v>1.8849555921538759</v>
      </c>
      <c r="AC120">
        <f t="shared" si="5"/>
        <v>0.95105651629515364</v>
      </c>
    </row>
    <row r="121" spans="26:29">
      <c r="Z121">
        <f t="shared" si="3"/>
        <v>0.95689030907450212</v>
      </c>
      <c r="AA121">
        <v>109</v>
      </c>
      <c r="AB121">
        <f t="shared" si="4"/>
        <v>1.902408884673819</v>
      </c>
      <c r="AC121">
        <f t="shared" si="5"/>
        <v>0.94551857559931685</v>
      </c>
    </row>
    <row r="122" spans="26:29">
      <c r="Z122">
        <f t="shared" si="3"/>
        <v>0.98016955640785408</v>
      </c>
      <c r="AA122">
        <v>110</v>
      </c>
      <c r="AB122">
        <f t="shared" si="4"/>
        <v>1.9198621771937625</v>
      </c>
      <c r="AC122">
        <f t="shared" si="5"/>
        <v>0.93969262078590843</v>
      </c>
    </row>
    <row r="123" spans="26:29">
      <c r="Z123">
        <f t="shared" si="3"/>
        <v>1.003735043216504</v>
      </c>
      <c r="AA123">
        <v>111</v>
      </c>
      <c r="AB123">
        <f t="shared" si="4"/>
        <v>1.9373154697137058</v>
      </c>
      <c r="AC123">
        <f t="shared" si="5"/>
        <v>0.93358042649720174</v>
      </c>
    </row>
    <row r="124" spans="26:29">
      <c r="Z124">
        <f t="shared" si="3"/>
        <v>1.0275849076668617</v>
      </c>
      <c r="AA124">
        <v>112</v>
      </c>
      <c r="AB124">
        <f t="shared" si="4"/>
        <v>1.9547687622336491</v>
      </c>
      <c r="AC124">
        <f t="shared" si="5"/>
        <v>0.92718385456678742</v>
      </c>
    </row>
    <row r="125" spans="26:29">
      <c r="Z125">
        <f t="shared" si="3"/>
        <v>1.0517172013011518</v>
      </c>
      <c r="AA125">
        <v>113</v>
      </c>
      <c r="AB125">
        <f t="shared" si="4"/>
        <v>1.9722220547535922</v>
      </c>
      <c r="AC125">
        <f t="shared" si="5"/>
        <v>0.92050485345244037</v>
      </c>
    </row>
    <row r="126" spans="26:29">
      <c r="Z126">
        <f t="shared" si="3"/>
        <v>1.0761298896309346</v>
      </c>
      <c r="AA126">
        <v>114</v>
      </c>
      <c r="AB126">
        <f t="shared" si="4"/>
        <v>1.9896753472735356</v>
      </c>
      <c r="AC126">
        <f t="shared" si="5"/>
        <v>0.91354545764260098</v>
      </c>
    </row>
    <row r="127" spans="26:29">
      <c r="Z127">
        <f t="shared" si="3"/>
        <v>1.1008208527568288</v>
      </c>
      <c r="AA127">
        <v>115</v>
      </c>
      <c r="AB127">
        <f t="shared" si="4"/>
        <v>2.0071286397934789</v>
      </c>
      <c r="AC127">
        <f t="shared" si="5"/>
        <v>0.90630778703665005</v>
      </c>
    </row>
    <row r="128" spans="26:29">
      <c r="Z128">
        <f t="shared" si="3"/>
        <v>1.1257878860142556</v>
      </c>
      <c r="AA128">
        <v>116</v>
      </c>
      <c r="AB128">
        <f t="shared" si="4"/>
        <v>2.0245819323134224</v>
      </c>
      <c r="AC128">
        <f t="shared" si="5"/>
        <v>0.89879404629916693</v>
      </c>
    </row>
    <row r="129" spans="26:29">
      <c r="Z129">
        <f t="shared" si="3"/>
        <v>1.1510287006449977</v>
      </c>
      <c r="AA129">
        <v>117</v>
      </c>
      <c r="AB129">
        <f t="shared" si="4"/>
        <v>2.0420352248333655</v>
      </c>
      <c r="AC129">
        <f t="shared" si="5"/>
        <v>0.8910065241883679</v>
      </c>
    </row>
    <row r="130" spans="26:29">
      <c r="Z130">
        <f t="shared" si="3"/>
        <v>1.1765409244943816</v>
      </c>
      <c r="AA130">
        <v>118</v>
      </c>
      <c r="AB130">
        <f t="shared" si="4"/>
        <v>2.0594885173533086</v>
      </c>
      <c r="AC130">
        <f t="shared" si="5"/>
        <v>0.8829475928589271</v>
      </c>
    </row>
    <row r="131" spans="26:29">
      <c r="Z131">
        <f t="shared" si="3"/>
        <v>1.2023221027338562</v>
      </c>
      <c r="AA131">
        <v>119</v>
      </c>
      <c r="AB131">
        <f t="shared" si="4"/>
        <v>2.0769418098732522</v>
      </c>
      <c r="AC131">
        <f t="shared" si="5"/>
        <v>0.87461970713939585</v>
      </c>
    </row>
    <row r="132" spans="26:29">
      <c r="Z132">
        <f t="shared" si="3"/>
        <v>1.2283696986087564</v>
      </c>
      <c r="AA132">
        <v>120</v>
      </c>
      <c r="AB132">
        <f t="shared" si="4"/>
        <v>2.0943951023931953</v>
      </c>
      <c r="AC132">
        <f t="shared" si="5"/>
        <v>0.86602540378443871</v>
      </c>
    </row>
    <row r="133" spans="26:29">
      <c r="Z133">
        <f t="shared" si="3"/>
        <v>1.2546810942110265</v>
      </c>
      <c r="AA133">
        <v>121</v>
      </c>
      <c r="AB133">
        <f t="shared" si="4"/>
        <v>2.1118483949131388</v>
      </c>
      <c r="AC133">
        <f t="shared" si="5"/>
        <v>0.85716730070211233</v>
      </c>
    </row>
    <row r="134" spans="26:29">
      <c r="Z134">
        <f t="shared" si="3"/>
        <v>1.2812535912766558</v>
      </c>
      <c r="AA134">
        <v>122</v>
      </c>
      <c r="AB134">
        <f t="shared" si="4"/>
        <v>2.1293016874330819</v>
      </c>
      <c r="AC134">
        <f t="shared" si="5"/>
        <v>0.84804809615642607</v>
      </c>
    </row>
    <row r="135" spans="26:29">
      <c r="Z135">
        <f t="shared" si="3"/>
        <v>1.3080844120076014</v>
      </c>
      <c r="AA135">
        <v>123</v>
      </c>
      <c r="AB135">
        <f t="shared" si="4"/>
        <v>2.1467549799530254</v>
      </c>
      <c r="AC135">
        <f t="shared" si="5"/>
        <v>0.83867056794542394</v>
      </c>
    </row>
    <row r="136" spans="26:29">
      <c r="Z136">
        <f t="shared" si="3"/>
        <v>1.3351706999179269</v>
      </c>
      <c r="AA136">
        <v>124</v>
      </c>
      <c r="AB136">
        <f t="shared" si="4"/>
        <v>2.1642082724729685</v>
      </c>
      <c r="AC136">
        <f t="shared" si="5"/>
        <v>0.82903757255504174</v>
      </c>
    </row>
    <row r="137" spans="26:29">
      <c r="Z137">
        <f t="shared" si="3"/>
        <v>1.3625095207039197</v>
      </c>
      <c r="AA137">
        <v>125</v>
      </c>
      <c r="AB137">
        <f t="shared" si="4"/>
        <v>2.1816615649929116</v>
      </c>
      <c r="AC137">
        <f t="shared" si="5"/>
        <v>0.81915204428899202</v>
      </c>
    </row>
    <row r="138" spans="26:29">
      <c r="Z138">
        <f t="shared" si="3"/>
        <v>1.3900978631379077</v>
      </c>
      <c r="AA138">
        <v>126</v>
      </c>
      <c r="AB138">
        <f t="shared" si="4"/>
        <v>2.1991148575128552</v>
      </c>
      <c r="AC138">
        <f t="shared" si="5"/>
        <v>0.80901699437494745</v>
      </c>
    </row>
    <row r="139" spans="26:29">
      <c r="Z139">
        <f t="shared" si="3"/>
        <v>1.4179326399855059</v>
      </c>
      <c r="AA139">
        <v>127</v>
      </c>
      <c r="AB139">
        <f t="shared" si="4"/>
        <v>2.2165681500327987</v>
      </c>
      <c r="AC139">
        <f t="shared" si="5"/>
        <v>0.79863551004729272</v>
      </c>
    </row>
    <row r="140" spans="26:29">
      <c r="Z140">
        <f t="shared" si="3"/>
        <v>1.4460106889460198</v>
      </c>
      <c r="AA140">
        <v>128</v>
      </c>
      <c r="AB140">
        <f t="shared" si="4"/>
        <v>2.2340214425527418</v>
      </c>
      <c r="AC140">
        <f t="shared" si="5"/>
        <v>0.78801075360672201</v>
      </c>
    </row>
    <row r="141" spans="26:29">
      <c r="Z141">
        <f t="shared" ref="Z141:Z204" si="6">AB141-SIN(AB141)</f>
        <v>1.474328773615714</v>
      </c>
      <c r="AA141">
        <v>129</v>
      </c>
      <c r="AB141">
        <f t="shared" ref="AB141:AB204" si="7">AA141*PI()/180</f>
        <v>2.2514747350726849</v>
      </c>
      <c r="AC141">
        <f t="shared" ref="AC141:AC204" si="8">SIN(AB141)</f>
        <v>0.77714596145697101</v>
      </c>
    </row>
    <row r="142" spans="26:29">
      <c r="Z142">
        <f t="shared" si="6"/>
        <v>1.5028835844736506</v>
      </c>
      <c r="AA142">
        <v>130</v>
      </c>
      <c r="AB142">
        <f t="shared" si="7"/>
        <v>2.2689280275926285</v>
      </c>
      <c r="AC142">
        <f t="shared" si="8"/>
        <v>0.76604444311897801</v>
      </c>
    </row>
    <row r="143" spans="26:29">
      <c r="Z143">
        <f t="shared" si="6"/>
        <v>1.5316717398898003</v>
      </c>
      <c r="AA143">
        <v>131</v>
      </c>
      <c r="AB143">
        <f t="shared" si="7"/>
        <v>2.286381320112572</v>
      </c>
      <c r="AC143">
        <f t="shared" si="8"/>
        <v>0.75470958022277179</v>
      </c>
    </row>
    <row r="144" spans="26:29">
      <c r="Z144">
        <f t="shared" si="6"/>
        <v>1.5606897871551209</v>
      </c>
      <c r="AA144">
        <v>132</v>
      </c>
      <c r="AB144">
        <f t="shared" si="7"/>
        <v>2.3038346126325151</v>
      </c>
      <c r="AC144">
        <f t="shared" si="8"/>
        <v>0.74314482547739424</v>
      </c>
    </row>
    <row r="145" spans="26:29">
      <c r="Z145">
        <f t="shared" si="6"/>
        <v>1.5899342035332875</v>
      </c>
      <c r="AA145">
        <v>133</v>
      </c>
      <c r="AB145">
        <f t="shared" si="7"/>
        <v>2.3212879051524582</v>
      </c>
      <c r="AC145">
        <f t="shared" si="8"/>
        <v>0.73135370161917057</v>
      </c>
    </row>
    <row r="146" spans="26:29">
      <c r="Z146">
        <f t="shared" si="6"/>
        <v>1.6194013973337498</v>
      </c>
      <c r="AA146">
        <v>134</v>
      </c>
      <c r="AB146">
        <f t="shared" si="7"/>
        <v>2.3387411976724013</v>
      </c>
      <c r="AC146">
        <f t="shared" si="8"/>
        <v>0.71933980033865141</v>
      </c>
    </row>
    <row r="147" spans="26:29">
      <c r="Z147">
        <f t="shared" si="6"/>
        <v>1.6490877090057974</v>
      </c>
      <c r="AA147">
        <v>135</v>
      </c>
      <c r="AB147">
        <f t="shared" si="7"/>
        <v>2.3561944901923448</v>
      </c>
      <c r="AC147">
        <f t="shared" si="8"/>
        <v>0.70710678118654757</v>
      </c>
    </row>
    <row r="148" spans="26:29">
      <c r="Z148">
        <f t="shared" si="6"/>
        <v>1.6789894122532911</v>
      </c>
      <c r="AA148">
        <v>136</v>
      </c>
      <c r="AB148">
        <f t="shared" si="7"/>
        <v>2.3736477827122884</v>
      </c>
      <c r="AC148">
        <f t="shared" si="8"/>
        <v>0.69465837045899714</v>
      </c>
    </row>
    <row r="149" spans="26:29">
      <c r="Z149">
        <f t="shared" si="6"/>
        <v>1.7091027151697329</v>
      </c>
      <c r="AA149">
        <v>137</v>
      </c>
      <c r="AB149">
        <f t="shared" si="7"/>
        <v>2.3911010752322315</v>
      </c>
      <c r="AC149">
        <f t="shared" si="8"/>
        <v>0.68199836006249859</v>
      </c>
    </row>
    <row r="150" spans="26:29">
      <c r="Z150">
        <f t="shared" si="6"/>
        <v>1.7394237613933163</v>
      </c>
      <c r="AA150">
        <v>138</v>
      </c>
      <c r="AB150">
        <f t="shared" si="7"/>
        <v>2.4085543677521746</v>
      </c>
      <c r="AC150">
        <f t="shared" si="8"/>
        <v>0.66913060635885835</v>
      </c>
    </row>
    <row r="151" spans="26:29">
      <c r="Z151">
        <f t="shared" si="6"/>
        <v>1.7699486312816108</v>
      </c>
      <c r="AA151">
        <v>139</v>
      </c>
      <c r="AB151">
        <f t="shared" si="7"/>
        <v>2.4260076602721181</v>
      </c>
      <c r="AC151">
        <f t="shared" si="8"/>
        <v>0.65605902899050728</v>
      </c>
    </row>
    <row r="152" spans="26:29">
      <c r="Z152">
        <f t="shared" si="6"/>
        <v>1.8006733431055217</v>
      </c>
      <c r="AA152">
        <v>140</v>
      </c>
      <c r="AB152">
        <f t="shared" si="7"/>
        <v>2.4434609527920612</v>
      </c>
      <c r="AC152">
        <f t="shared" si="8"/>
        <v>0.64278760968653947</v>
      </c>
    </row>
    <row r="153" spans="26:29">
      <c r="Z153">
        <f t="shared" si="6"/>
        <v>1.8315938542621666</v>
      </c>
      <c r="AA153">
        <v>141</v>
      </c>
      <c r="AB153">
        <f t="shared" si="7"/>
        <v>2.4609142453120043</v>
      </c>
      <c r="AC153">
        <f t="shared" si="8"/>
        <v>0.62932039104983772</v>
      </c>
    </row>
    <row r="154" spans="26:29">
      <c r="Z154">
        <f t="shared" si="6"/>
        <v>1.8627060625062895</v>
      </c>
      <c r="AA154">
        <v>142</v>
      </c>
      <c r="AB154">
        <f t="shared" si="7"/>
        <v>2.4783675378319479</v>
      </c>
      <c r="AC154">
        <f t="shared" si="8"/>
        <v>0.6156614753256584</v>
      </c>
    </row>
    <row r="155" spans="26:29">
      <c r="Z155">
        <f t="shared" si="6"/>
        <v>1.8940058071998433</v>
      </c>
      <c r="AA155">
        <v>143</v>
      </c>
      <c r="AB155">
        <f t="shared" si="7"/>
        <v>2.4958208303518914</v>
      </c>
      <c r="AC155">
        <f t="shared" si="8"/>
        <v>0.60181502315204816</v>
      </c>
    </row>
    <row r="156" spans="26:29">
      <c r="Z156">
        <f t="shared" si="6"/>
        <v>1.9254888705793611</v>
      </c>
      <c r="AA156">
        <v>144</v>
      </c>
      <c r="AB156">
        <f t="shared" si="7"/>
        <v>2.5132741228718345</v>
      </c>
      <c r="AC156">
        <f t="shared" si="8"/>
        <v>0.58778525229247325</v>
      </c>
    </row>
    <row r="157" spans="26:29">
      <c r="Z157">
        <f t="shared" si="6"/>
        <v>1.9571509790407311</v>
      </c>
      <c r="AA157">
        <v>145</v>
      </c>
      <c r="AB157">
        <f t="shared" si="7"/>
        <v>2.5307274153917776</v>
      </c>
      <c r="AC157">
        <f t="shared" si="8"/>
        <v>0.57357643635104638</v>
      </c>
    </row>
    <row r="158" spans="26:29">
      <c r="Z158">
        <f t="shared" si="6"/>
        <v>1.9889878044409741</v>
      </c>
      <c r="AA158">
        <v>146</v>
      </c>
      <c r="AB158">
        <f t="shared" si="7"/>
        <v>2.5481807079117211</v>
      </c>
      <c r="AC158">
        <f t="shared" si="8"/>
        <v>0.5591929034707469</v>
      </c>
    </row>
    <row r="159" spans="26:29">
      <c r="Z159">
        <f t="shared" si="6"/>
        <v>2.0209949654166377</v>
      </c>
      <c r="AA159">
        <v>147</v>
      </c>
      <c r="AB159">
        <f t="shared" si="7"/>
        <v>2.5656340004316647</v>
      </c>
      <c r="AC159">
        <f t="shared" si="8"/>
        <v>0.54463903501502697</v>
      </c>
    </row>
    <row r="160" spans="26:29">
      <c r="Z160">
        <f t="shared" si="6"/>
        <v>2.0531680287184031</v>
      </c>
      <c r="AA160">
        <v>148</v>
      </c>
      <c r="AB160">
        <f t="shared" si="7"/>
        <v>2.5830872929516078</v>
      </c>
      <c r="AC160">
        <f t="shared" si="8"/>
        <v>0.5299192642332049</v>
      </c>
    </row>
    <row r="161" spans="26:29">
      <c r="Z161">
        <f t="shared" si="6"/>
        <v>2.0855025105614966</v>
      </c>
      <c r="AA161">
        <v>149</v>
      </c>
      <c r="AB161">
        <f t="shared" si="7"/>
        <v>2.6005405854715509</v>
      </c>
      <c r="AC161">
        <f t="shared" si="8"/>
        <v>0.51503807491005438</v>
      </c>
    </row>
    <row r="162" spans="26:29">
      <c r="Z162">
        <f t="shared" si="6"/>
        <v>2.1179938779914944</v>
      </c>
      <c r="AA162">
        <v>150</v>
      </c>
      <c r="AB162">
        <f t="shared" si="7"/>
        <v>2.6179938779914944</v>
      </c>
      <c r="AC162">
        <f t="shared" si="8"/>
        <v>0.49999999999999994</v>
      </c>
    </row>
    <row r="163" spans="26:29">
      <c r="Z163">
        <f t="shared" si="6"/>
        <v>2.1506375502651003</v>
      </c>
      <c r="AA163">
        <v>151</v>
      </c>
      <c r="AB163">
        <f t="shared" si="7"/>
        <v>2.6354471705114375</v>
      </c>
      <c r="AC163">
        <f t="shared" si="8"/>
        <v>0.48480962024633717</v>
      </c>
    </row>
    <row r="164" spans="26:29">
      <c r="Z164">
        <f t="shared" si="6"/>
        <v>2.1834289002454894</v>
      </c>
      <c r="AA164">
        <v>152</v>
      </c>
      <c r="AB164">
        <f t="shared" si="7"/>
        <v>2.6529004630313806</v>
      </c>
      <c r="AC164">
        <f t="shared" si="8"/>
        <v>0.46947156278589108</v>
      </c>
    </row>
    <row r="165" spans="26:29">
      <c r="Z165">
        <f t="shared" si="6"/>
        <v>2.2163632558117774</v>
      </c>
      <c r="AA165">
        <v>153</v>
      </c>
      <c r="AB165">
        <f t="shared" si="7"/>
        <v>2.6703537555513241</v>
      </c>
      <c r="AC165">
        <f t="shared" si="8"/>
        <v>0.45399049973954686</v>
      </c>
    </row>
    <row r="166" spans="26:29">
      <c r="Z166">
        <f t="shared" si="6"/>
        <v>2.2494359012821903</v>
      </c>
      <c r="AA166">
        <v>154</v>
      </c>
      <c r="AB166">
        <f t="shared" si="7"/>
        <v>2.6878070480712677</v>
      </c>
      <c r="AC166">
        <f t="shared" si="8"/>
        <v>0.43837114678907729</v>
      </c>
    </row>
    <row r="167" spans="26:29">
      <c r="Z167">
        <f t="shared" si="6"/>
        <v>2.2826420788505111</v>
      </c>
      <c r="AA167">
        <v>155</v>
      </c>
      <c r="AB167">
        <f t="shared" si="7"/>
        <v>2.7052603405912108</v>
      </c>
      <c r="AC167">
        <f t="shared" si="8"/>
        <v>0.4226182617406995</v>
      </c>
    </row>
    <row r="168" spans="26:29">
      <c r="Z168">
        <f t="shared" si="6"/>
        <v>2.3159769900353533</v>
      </c>
      <c r="AA168">
        <v>156</v>
      </c>
      <c r="AB168">
        <f t="shared" si="7"/>
        <v>2.7227136331111539</v>
      </c>
      <c r="AC168">
        <f t="shared" si="8"/>
        <v>0.40673664307580043</v>
      </c>
    </row>
    <row r="169" spans="26:29">
      <c r="Z169">
        <f t="shared" si="6"/>
        <v>2.3494357971418229</v>
      </c>
      <c r="AA169">
        <v>157</v>
      </c>
      <c r="AB169">
        <f t="shared" si="7"/>
        <v>2.740166925631097</v>
      </c>
      <c r="AC169">
        <f t="shared" si="8"/>
        <v>0.39073112848927416</v>
      </c>
    </row>
    <row r="170" spans="26:29">
      <c r="Z170">
        <f t="shared" si="6"/>
        <v>2.3830136247351281</v>
      </c>
      <c r="AA170">
        <v>158</v>
      </c>
      <c r="AB170">
        <f t="shared" si="7"/>
        <v>2.7576202181510405</v>
      </c>
      <c r="AC170">
        <f t="shared" si="8"/>
        <v>0.37460659341591224</v>
      </c>
    </row>
    <row r="171" spans="26:29">
      <c r="Z171">
        <f t="shared" si="6"/>
        <v>2.416705561125684</v>
      </c>
      <c r="AA171">
        <v>159</v>
      </c>
      <c r="AB171">
        <f t="shared" si="7"/>
        <v>2.7750735106709841</v>
      </c>
      <c r="AC171">
        <f t="shared" si="8"/>
        <v>0.35836794954530021</v>
      </c>
    </row>
    <row r="172" spans="26:29">
      <c r="Z172">
        <f t="shared" si="6"/>
        <v>2.4505066598652583</v>
      </c>
      <c r="AA172">
        <v>160</v>
      </c>
      <c r="AB172">
        <f t="shared" si="7"/>
        <v>2.7925268031909272</v>
      </c>
      <c r="AC172">
        <f t="shared" si="8"/>
        <v>0.34202014332566888</v>
      </c>
    </row>
    <row r="173" spans="26:29">
      <c r="Z173">
        <f t="shared" si="6"/>
        <v>2.4844119412537133</v>
      </c>
      <c r="AA173">
        <v>161</v>
      </c>
      <c r="AB173">
        <f t="shared" si="7"/>
        <v>2.8099800957108703</v>
      </c>
      <c r="AC173">
        <f t="shared" si="8"/>
        <v>0.32556815445715703</v>
      </c>
    </row>
    <row r="174" spans="26:29">
      <c r="Z174">
        <f t="shared" si="6"/>
        <v>2.5184163938558664</v>
      </c>
      <c r="AA174">
        <v>162</v>
      </c>
      <c r="AB174">
        <f t="shared" si="7"/>
        <v>2.8274333882308138</v>
      </c>
      <c r="AC174">
        <f t="shared" si="8"/>
        <v>0.30901699437494751</v>
      </c>
    </row>
    <row r="175" spans="26:29">
      <c r="Z175">
        <f t="shared" si="6"/>
        <v>2.5525149760280197</v>
      </c>
      <c r="AA175">
        <v>163</v>
      </c>
      <c r="AB175">
        <f t="shared" si="7"/>
        <v>2.8448866807507569</v>
      </c>
      <c r="AC175">
        <f t="shared" si="8"/>
        <v>0.29237170472273705</v>
      </c>
    </row>
    <row r="176" spans="26:29">
      <c r="Z176">
        <f t="shared" si="6"/>
        <v>2.5867026174537004</v>
      </c>
      <c r="AA176">
        <v>164</v>
      </c>
      <c r="AB176">
        <f t="shared" si="7"/>
        <v>2.8623399732707</v>
      </c>
      <c r="AC176">
        <f t="shared" si="8"/>
        <v>0.27563735581699966</v>
      </c>
    </row>
    <row r="177" spans="26:29">
      <c r="Z177">
        <f t="shared" si="6"/>
        <v>2.6209742206881224</v>
      </c>
      <c r="AA177">
        <v>165</v>
      </c>
      <c r="AB177">
        <f t="shared" si="7"/>
        <v>2.8797932657906435</v>
      </c>
      <c r="AC177">
        <f t="shared" si="8"/>
        <v>0.25881904510252102</v>
      </c>
    </row>
    <row r="178" spans="26:29">
      <c r="Z178">
        <f t="shared" si="6"/>
        <v>2.6553246627109193</v>
      </c>
      <c r="AA178">
        <v>166</v>
      </c>
      <c r="AB178">
        <f t="shared" si="7"/>
        <v>2.8972465583105871</v>
      </c>
      <c r="AC178">
        <f t="shared" si="8"/>
        <v>0.24192189559966773</v>
      </c>
    </row>
    <row r="179" spans="26:29">
      <c r="Z179">
        <f t="shared" si="6"/>
        <v>2.6897487964866658</v>
      </c>
      <c r="AA179">
        <v>167</v>
      </c>
      <c r="AB179">
        <f t="shared" si="7"/>
        <v>2.9146998508305306</v>
      </c>
      <c r="AC179">
        <f t="shared" si="8"/>
        <v>0.22495105434386478</v>
      </c>
    </row>
    <row r="180" spans="26:29">
      <c r="Z180">
        <f t="shared" si="6"/>
        <v>2.7242414525327145</v>
      </c>
      <c r="AA180">
        <v>168</v>
      </c>
      <c r="AB180">
        <f t="shared" si="7"/>
        <v>2.9321531433504737</v>
      </c>
      <c r="AC180">
        <f t="shared" si="8"/>
        <v>0.20791169081775931</v>
      </c>
    </row>
    <row r="181" spans="26:29">
      <c r="Z181">
        <f t="shared" si="6"/>
        <v>2.758797440493872</v>
      </c>
      <c r="AA181">
        <v>169</v>
      </c>
      <c r="AB181">
        <f t="shared" si="7"/>
        <v>2.9496064358704168</v>
      </c>
      <c r="AC181">
        <f t="shared" si="8"/>
        <v>0.19080899537654497</v>
      </c>
    </row>
    <row r="182" spans="26:29">
      <c r="Z182">
        <f t="shared" si="6"/>
        <v>2.7934115507234303</v>
      </c>
      <c r="AA182">
        <v>170</v>
      </c>
      <c r="AB182">
        <f t="shared" si="7"/>
        <v>2.9670597283903604</v>
      </c>
      <c r="AC182">
        <f t="shared" si="8"/>
        <v>0.17364817766693028</v>
      </c>
    </row>
    <row r="183" spans="26:29">
      <c r="Z183">
        <f t="shared" si="6"/>
        <v>2.8280785558700723</v>
      </c>
      <c r="AA183">
        <v>171</v>
      </c>
      <c r="AB183">
        <f t="shared" si="7"/>
        <v>2.9845130209103035</v>
      </c>
      <c r="AC183">
        <f t="shared" si="8"/>
        <v>0.15643446504023098</v>
      </c>
    </row>
    <row r="184" spans="26:29">
      <c r="Z184">
        <f t="shared" si="6"/>
        <v>2.8627932124701809</v>
      </c>
      <c r="AA184">
        <v>172</v>
      </c>
      <c r="AB184">
        <f t="shared" si="7"/>
        <v>3.0019663134302466</v>
      </c>
      <c r="AC184">
        <f t="shared" si="8"/>
        <v>0.13917310096006574</v>
      </c>
    </row>
    <row r="185" spans="26:29">
      <c r="Z185">
        <f t="shared" si="6"/>
        <v>2.8975502625450424</v>
      </c>
      <c r="AA185">
        <v>173</v>
      </c>
      <c r="AB185">
        <f t="shared" si="7"/>
        <v>3.0194196059501901</v>
      </c>
      <c r="AC185">
        <f t="shared" si="8"/>
        <v>0.12186934340514755</v>
      </c>
    </row>
    <row r="186" spans="26:29">
      <c r="Z186">
        <f t="shared" si="6"/>
        <v>2.9323444352024794</v>
      </c>
      <c r="AA186">
        <v>174</v>
      </c>
      <c r="AB186">
        <f t="shared" si="7"/>
        <v>3.0368728984701332</v>
      </c>
      <c r="AC186">
        <f t="shared" si="8"/>
        <v>0.10452846326765373</v>
      </c>
    </row>
    <row r="187" spans="26:29">
      <c r="Z187">
        <f t="shared" si="6"/>
        <v>2.9671704482424177</v>
      </c>
      <c r="AA187">
        <v>175</v>
      </c>
      <c r="AB187">
        <f t="shared" si="7"/>
        <v>3.0543261909900763</v>
      </c>
      <c r="AC187">
        <f t="shared" si="8"/>
        <v>8.7155742747658638E-2</v>
      </c>
    </row>
    <row r="188" spans="26:29">
      <c r="Z188">
        <f t="shared" si="6"/>
        <v>3.0020230097658942</v>
      </c>
      <c r="AA188">
        <v>176</v>
      </c>
      <c r="AB188">
        <f t="shared" si="7"/>
        <v>3.0717794835100198</v>
      </c>
      <c r="AC188">
        <f t="shared" si="8"/>
        <v>6.9756473744125524E-2</v>
      </c>
    </row>
    <row r="189" spans="26:29">
      <c r="Z189">
        <f t="shared" si="6"/>
        <v>3.0368968197870196</v>
      </c>
      <c r="AA189">
        <v>177</v>
      </c>
      <c r="AB189">
        <f t="shared" si="7"/>
        <v>3.0892327760299634</v>
      </c>
      <c r="AC189">
        <f t="shared" si="8"/>
        <v>5.2335956242943807E-2</v>
      </c>
    </row>
    <row r="190" spans="26:29">
      <c r="Z190">
        <f t="shared" si="6"/>
        <v>3.0717865718474062</v>
      </c>
      <c r="AA190">
        <v>178</v>
      </c>
      <c r="AB190">
        <f t="shared" si="7"/>
        <v>3.1066860685499069</v>
      </c>
      <c r="AC190">
        <f t="shared" si="8"/>
        <v>3.4899496702500699E-2</v>
      </c>
    </row>
    <row r="191" spans="26:29">
      <c r="Z191">
        <f t="shared" si="6"/>
        <v>3.1066869546325666</v>
      </c>
      <c r="AA191">
        <v>179</v>
      </c>
      <c r="AB191">
        <f t="shared" si="7"/>
        <v>3.12413936106985</v>
      </c>
      <c r="AC191">
        <f t="shared" si="8"/>
        <v>1.7452406437283439E-2</v>
      </c>
    </row>
    <row r="192" spans="26:29">
      <c r="Z192">
        <f t="shared" si="6"/>
        <v>3.1415926535897931</v>
      </c>
      <c r="AA192">
        <v>180</v>
      </c>
      <c r="AB192">
        <f t="shared" si="7"/>
        <v>3.1415926535897931</v>
      </c>
      <c r="AC192">
        <f t="shared" si="8"/>
        <v>1.22514845490862E-16</v>
      </c>
    </row>
    <row r="193" spans="26:29">
      <c r="Z193">
        <f t="shared" si="6"/>
        <v>3.1764983525470196</v>
      </c>
      <c r="AA193">
        <v>181</v>
      </c>
      <c r="AB193">
        <f t="shared" si="7"/>
        <v>3.1590459461097362</v>
      </c>
      <c r="AC193">
        <f t="shared" si="8"/>
        <v>-1.7452406437283192E-2</v>
      </c>
    </row>
    <row r="194" spans="26:29">
      <c r="Z194">
        <f t="shared" si="6"/>
        <v>3.2113987353321805</v>
      </c>
      <c r="AA194">
        <v>182</v>
      </c>
      <c r="AB194">
        <f t="shared" si="7"/>
        <v>3.1764992386296798</v>
      </c>
      <c r="AC194">
        <f t="shared" si="8"/>
        <v>-3.48994967025009E-2</v>
      </c>
    </row>
    <row r="195" spans="26:29">
      <c r="Z195">
        <f t="shared" si="6"/>
        <v>3.2462884873925666</v>
      </c>
      <c r="AA195">
        <v>183</v>
      </c>
      <c r="AB195">
        <f t="shared" si="7"/>
        <v>3.1939525311496229</v>
      </c>
      <c r="AC195">
        <f t="shared" si="8"/>
        <v>-5.2335956242943557E-2</v>
      </c>
    </row>
    <row r="196" spans="26:29">
      <c r="Z196">
        <f t="shared" si="6"/>
        <v>3.2811622974136907</v>
      </c>
      <c r="AA196">
        <v>184</v>
      </c>
      <c r="AB196">
        <f t="shared" si="7"/>
        <v>3.211405823669566</v>
      </c>
      <c r="AC196">
        <f t="shared" si="8"/>
        <v>-6.9756473744124831E-2</v>
      </c>
    </row>
    <row r="197" spans="26:29">
      <c r="Z197">
        <f t="shared" si="6"/>
        <v>3.3160148589371676</v>
      </c>
      <c r="AA197">
        <v>185</v>
      </c>
      <c r="AB197">
        <f t="shared" si="7"/>
        <v>3.2288591161895095</v>
      </c>
      <c r="AC197">
        <f t="shared" si="8"/>
        <v>-8.7155742747657944E-2</v>
      </c>
    </row>
    <row r="198" spans="26:29">
      <c r="Z198">
        <f t="shared" si="6"/>
        <v>3.3508408719771055</v>
      </c>
      <c r="AA198">
        <v>186</v>
      </c>
      <c r="AB198">
        <f t="shared" si="7"/>
        <v>3.2463124087094526</v>
      </c>
      <c r="AC198">
        <f t="shared" si="8"/>
        <v>-0.10452846326765305</v>
      </c>
    </row>
    <row r="199" spans="26:29">
      <c r="Z199">
        <f t="shared" si="6"/>
        <v>3.3856350446345442</v>
      </c>
      <c r="AA199">
        <v>187</v>
      </c>
      <c r="AB199">
        <f t="shared" si="7"/>
        <v>3.2637657012293966</v>
      </c>
      <c r="AC199">
        <f t="shared" si="8"/>
        <v>-0.12186934340514774</v>
      </c>
    </row>
    <row r="200" spans="26:29">
      <c r="Z200">
        <f t="shared" si="6"/>
        <v>3.4203920947094053</v>
      </c>
      <c r="AA200">
        <v>188</v>
      </c>
      <c r="AB200">
        <f t="shared" si="7"/>
        <v>3.2812189937493397</v>
      </c>
      <c r="AC200">
        <f t="shared" si="8"/>
        <v>-0.13917310096006552</v>
      </c>
    </row>
    <row r="201" spans="26:29">
      <c r="Z201">
        <f t="shared" si="6"/>
        <v>3.4551067513095135</v>
      </c>
      <c r="AA201">
        <v>189</v>
      </c>
      <c r="AB201">
        <f t="shared" si="7"/>
        <v>3.2986722862692828</v>
      </c>
      <c r="AC201">
        <f t="shared" si="8"/>
        <v>-0.15643446504023073</v>
      </c>
    </row>
    <row r="202" spans="26:29">
      <c r="Z202">
        <f t="shared" si="6"/>
        <v>3.4897737564561568</v>
      </c>
      <c r="AA202">
        <v>190</v>
      </c>
      <c r="AB202">
        <f t="shared" si="7"/>
        <v>3.3161255787892263</v>
      </c>
      <c r="AC202">
        <f t="shared" si="8"/>
        <v>-0.17364817766693047</v>
      </c>
    </row>
    <row r="203" spans="26:29">
      <c r="Z203">
        <f t="shared" si="6"/>
        <v>3.5243878666857142</v>
      </c>
      <c r="AA203">
        <v>191</v>
      </c>
      <c r="AB203">
        <f t="shared" si="7"/>
        <v>3.3335788713091694</v>
      </c>
      <c r="AC203">
        <f t="shared" si="8"/>
        <v>-0.19080899537654472</v>
      </c>
    </row>
    <row r="204" spans="26:29">
      <c r="Z204">
        <f t="shared" si="6"/>
        <v>3.5589438546468717</v>
      </c>
      <c r="AA204">
        <v>192</v>
      </c>
      <c r="AB204">
        <f t="shared" si="7"/>
        <v>3.3510321638291125</v>
      </c>
      <c r="AC204">
        <f t="shared" si="8"/>
        <v>-0.20791169081775907</v>
      </c>
    </row>
    <row r="205" spans="26:29">
      <c r="Z205">
        <f t="shared" ref="Z205:Z268" si="9">AB205-SIN(AB205)</f>
        <v>3.5934365106929209</v>
      </c>
      <c r="AA205">
        <v>193</v>
      </c>
      <c r="AB205">
        <f t="shared" ref="AB205:AB268" si="10">AA205*PI()/180</f>
        <v>3.3684854563490561</v>
      </c>
      <c r="AC205">
        <f t="shared" ref="AC205:AC268" si="11">SIN(AB205)</f>
        <v>-0.22495105434386498</v>
      </c>
    </row>
    <row r="206" spans="26:29">
      <c r="Z206">
        <f t="shared" si="9"/>
        <v>3.6278606444686665</v>
      </c>
      <c r="AA206">
        <v>194</v>
      </c>
      <c r="AB206">
        <f t="shared" si="10"/>
        <v>3.3859387488689991</v>
      </c>
      <c r="AC206">
        <f t="shared" si="11"/>
        <v>-0.24192189559966751</v>
      </c>
    </row>
    <row r="207" spans="26:29">
      <c r="Z207">
        <f t="shared" si="9"/>
        <v>3.6622110864914625</v>
      </c>
      <c r="AA207">
        <v>195</v>
      </c>
      <c r="AB207">
        <f t="shared" si="10"/>
        <v>3.4033920413889422</v>
      </c>
      <c r="AC207">
        <f t="shared" si="11"/>
        <v>-0.25881904510252035</v>
      </c>
    </row>
    <row r="208" spans="26:29">
      <c r="Z208">
        <f t="shared" si="9"/>
        <v>3.6964826897258849</v>
      </c>
      <c r="AA208">
        <v>196</v>
      </c>
      <c r="AB208">
        <f t="shared" si="10"/>
        <v>3.4208453339088858</v>
      </c>
      <c r="AC208">
        <f t="shared" si="11"/>
        <v>-0.275637355816999</v>
      </c>
    </row>
    <row r="209" spans="26:29">
      <c r="Z209">
        <f t="shared" si="9"/>
        <v>3.7306703311515652</v>
      </c>
      <c r="AA209">
        <v>197</v>
      </c>
      <c r="AB209">
        <f t="shared" si="10"/>
        <v>3.4382986264288289</v>
      </c>
      <c r="AC209">
        <f t="shared" si="11"/>
        <v>-0.29237170472273638</v>
      </c>
    </row>
    <row r="210" spans="26:29">
      <c r="Z210">
        <f t="shared" si="9"/>
        <v>3.7647689133237208</v>
      </c>
      <c r="AA210">
        <v>198</v>
      </c>
      <c r="AB210">
        <f t="shared" si="10"/>
        <v>3.4557519189487729</v>
      </c>
      <c r="AC210">
        <f t="shared" si="11"/>
        <v>-0.30901699437494773</v>
      </c>
    </row>
    <row r="211" spans="26:29">
      <c r="Z211">
        <f t="shared" si="9"/>
        <v>3.7987733659258729</v>
      </c>
      <c r="AA211">
        <v>199</v>
      </c>
      <c r="AB211">
        <f t="shared" si="10"/>
        <v>3.473205211468716</v>
      </c>
      <c r="AC211">
        <f t="shared" si="11"/>
        <v>-0.32556815445715676</v>
      </c>
    </row>
    <row r="212" spans="26:29">
      <c r="Z212">
        <f t="shared" si="9"/>
        <v>3.8326786473143279</v>
      </c>
      <c r="AA212">
        <v>200</v>
      </c>
      <c r="AB212">
        <f t="shared" si="10"/>
        <v>3.4906585039886591</v>
      </c>
      <c r="AC212">
        <f t="shared" si="11"/>
        <v>-0.34202014332566866</v>
      </c>
    </row>
    <row r="213" spans="26:29">
      <c r="Z213">
        <f t="shared" si="9"/>
        <v>3.8664797460539031</v>
      </c>
      <c r="AA213">
        <v>201</v>
      </c>
      <c r="AB213">
        <f t="shared" si="10"/>
        <v>3.5081117965086026</v>
      </c>
      <c r="AC213">
        <f t="shared" si="11"/>
        <v>-0.35836794954530043</v>
      </c>
    </row>
    <row r="214" spans="26:29">
      <c r="Z214">
        <f t="shared" si="9"/>
        <v>3.9001716824444577</v>
      </c>
      <c r="AA214">
        <v>202</v>
      </c>
      <c r="AB214">
        <f t="shared" si="10"/>
        <v>3.5255650890285457</v>
      </c>
      <c r="AC214">
        <f t="shared" si="11"/>
        <v>-0.37460659341591201</v>
      </c>
    </row>
    <row r="215" spans="26:29">
      <c r="Z215">
        <f t="shared" si="9"/>
        <v>3.9337495100377624</v>
      </c>
      <c r="AA215">
        <v>203</v>
      </c>
      <c r="AB215">
        <f t="shared" si="10"/>
        <v>3.5430183815484888</v>
      </c>
      <c r="AC215">
        <f t="shared" si="11"/>
        <v>-0.39073112848927355</v>
      </c>
    </row>
    <row r="216" spans="26:29">
      <c r="Z216">
        <f t="shared" si="9"/>
        <v>3.9672083171442316</v>
      </c>
      <c r="AA216">
        <v>204</v>
      </c>
      <c r="AB216">
        <f t="shared" si="10"/>
        <v>3.5604716740684319</v>
      </c>
      <c r="AC216">
        <f t="shared" si="11"/>
        <v>-0.40673664307579982</v>
      </c>
    </row>
    <row r="217" spans="26:29">
      <c r="Z217">
        <f t="shared" si="9"/>
        <v>4.0005432283290752</v>
      </c>
      <c r="AA217">
        <v>205</v>
      </c>
      <c r="AB217">
        <f t="shared" si="10"/>
        <v>3.5779249665883754</v>
      </c>
      <c r="AC217">
        <f t="shared" si="11"/>
        <v>-0.42261826174069927</v>
      </c>
    </row>
    <row r="218" spans="26:29">
      <c r="Z218">
        <f t="shared" si="9"/>
        <v>4.0337494058973959</v>
      </c>
      <c r="AA218">
        <v>206</v>
      </c>
      <c r="AB218">
        <f t="shared" si="10"/>
        <v>3.5953782591083185</v>
      </c>
      <c r="AC218">
        <f t="shared" si="11"/>
        <v>-0.43837114678907707</v>
      </c>
    </row>
    <row r="219" spans="26:29">
      <c r="Z219">
        <f t="shared" si="9"/>
        <v>4.0668220513678079</v>
      </c>
      <c r="AA219">
        <v>207</v>
      </c>
      <c r="AB219">
        <f t="shared" si="10"/>
        <v>3.6128315516282616</v>
      </c>
      <c r="AC219">
        <f t="shared" si="11"/>
        <v>-0.45399049973954625</v>
      </c>
    </row>
    <row r="220" spans="26:29">
      <c r="Z220">
        <f t="shared" si="9"/>
        <v>4.0997564069340964</v>
      </c>
      <c r="AA220">
        <v>208</v>
      </c>
      <c r="AB220">
        <f t="shared" si="10"/>
        <v>3.6302848441482056</v>
      </c>
      <c r="AC220">
        <f t="shared" si="11"/>
        <v>-0.46947156278589086</v>
      </c>
    </row>
    <row r="221" spans="26:29">
      <c r="Z221">
        <f t="shared" si="9"/>
        <v>4.1325477569144855</v>
      </c>
      <c r="AA221">
        <v>209</v>
      </c>
      <c r="AB221">
        <f t="shared" si="10"/>
        <v>3.6477381366681487</v>
      </c>
      <c r="AC221">
        <f t="shared" si="11"/>
        <v>-0.48480962024633695</v>
      </c>
    </row>
    <row r="222" spans="26:29">
      <c r="Z222">
        <f t="shared" si="9"/>
        <v>4.1651914291880923</v>
      </c>
      <c r="AA222">
        <v>210</v>
      </c>
      <c r="AB222">
        <f t="shared" si="10"/>
        <v>3.6651914291880923</v>
      </c>
      <c r="AC222">
        <f t="shared" si="11"/>
        <v>-0.50000000000000011</v>
      </c>
    </row>
    <row r="223" spans="26:29">
      <c r="Z223">
        <f t="shared" si="9"/>
        <v>4.1976827966180892</v>
      </c>
      <c r="AA223">
        <v>211</v>
      </c>
      <c r="AB223">
        <f t="shared" si="10"/>
        <v>3.6826447217080354</v>
      </c>
      <c r="AC223">
        <f t="shared" si="11"/>
        <v>-0.51503807491005416</v>
      </c>
    </row>
    <row r="224" spans="26:29">
      <c r="Z224">
        <f t="shared" si="9"/>
        <v>4.2300172784611831</v>
      </c>
      <c r="AA224">
        <v>212</v>
      </c>
      <c r="AB224">
        <f t="shared" si="10"/>
        <v>3.7000980142279785</v>
      </c>
      <c r="AC224">
        <f t="shared" si="11"/>
        <v>-0.52991926423320479</v>
      </c>
    </row>
    <row r="225" spans="26:29">
      <c r="Z225">
        <f t="shared" si="9"/>
        <v>4.262190341762949</v>
      </c>
      <c r="AA225">
        <v>213</v>
      </c>
      <c r="AB225">
        <f t="shared" si="10"/>
        <v>3.717551306747922</v>
      </c>
      <c r="AC225">
        <f t="shared" si="11"/>
        <v>-0.54463903501502708</v>
      </c>
    </row>
    <row r="226" spans="26:29">
      <c r="Z226">
        <f t="shared" si="9"/>
        <v>4.2941975027386121</v>
      </c>
      <c r="AA226">
        <v>214</v>
      </c>
      <c r="AB226">
        <f t="shared" si="10"/>
        <v>3.7350045992678651</v>
      </c>
      <c r="AC226">
        <f t="shared" si="11"/>
        <v>-0.55919290347074668</v>
      </c>
    </row>
    <row r="227" spans="26:29">
      <c r="Z227">
        <f t="shared" si="9"/>
        <v>4.3260343281388538</v>
      </c>
      <c r="AA227">
        <v>215</v>
      </c>
      <c r="AB227">
        <f t="shared" si="10"/>
        <v>3.7524578917878082</v>
      </c>
      <c r="AC227">
        <f t="shared" si="11"/>
        <v>-0.57357643635104583</v>
      </c>
    </row>
    <row r="228" spans="26:29">
      <c r="Z228">
        <f t="shared" si="9"/>
        <v>4.3576964366002251</v>
      </c>
      <c r="AA228">
        <v>216</v>
      </c>
      <c r="AB228">
        <f t="shared" si="10"/>
        <v>3.7699111843077517</v>
      </c>
      <c r="AC228">
        <f t="shared" si="11"/>
        <v>-0.58778525229247303</v>
      </c>
    </row>
    <row r="229" spans="26:29">
      <c r="Z229">
        <f t="shared" si="9"/>
        <v>4.3891794999797433</v>
      </c>
      <c r="AA229">
        <v>217</v>
      </c>
      <c r="AB229">
        <f t="shared" si="10"/>
        <v>3.7873644768276948</v>
      </c>
      <c r="AC229">
        <f t="shared" si="11"/>
        <v>-0.60181502315204805</v>
      </c>
    </row>
    <row r="230" spans="26:29">
      <c r="Z230">
        <f t="shared" si="9"/>
        <v>4.4204792446732961</v>
      </c>
      <c r="AA230">
        <v>218</v>
      </c>
      <c r="AB230">
        <f t="shared" si="10"/>
        <v>3.8048177693476379</v>
      </c>
      <c r="AC230">
        <f t="shared" si="11"/>
        <v>-0.61566147532565785</v>
      </c>
    </row>
    <row r="231" spans="26:29">
      <c r="Z231">
        <f t="shared" si="9"/>
        <v>4.4515914529174196</v>
      </c>
      <c r="AA231">
        <v>219</v>
      </c>
      <c r="AB231">
        <f t="shared" si="10"/>
        <v>3.8222710618675819</v>
      </c>
      <c r="AC231">
        <f t="shared" si="11"/>
        <v>-0.62932039104983761</v>
      </c>
    </row>
    <row r="232" spans="26:29">
      <c r="Z232">
        <f t="shared" si="9"/>
        <v>4.4825119640740638</v>
      </c>
      <c r="AA232">
        <v>220</v>
      </c>
      <c r="AB232">
        <f t="shared" si="10"/>
        <v>3.839724354387525</v>
      </c>
      <c r="AC232">
        <f t="shared" si="11"/>
        <v>-0.64278760968653925</v>
      </c>
    </row>
    <row r="233" spans="26:29">
      <c r="Z233">
        <f t="shared" si="9"/>
        <v>4.5132366758979758</v>
      </c>
      <c r="AA233">
        <v>221</v>
      </c>
      <c r="AB233">
        <f t="shared" si="10"/>
        <v>3.8571776469074686</v>
      </c>
      <c r="AC233">
        <f t="shared" si="11"/>
        <v>-0.65605902899050739</v>
      </c>
    </row>
    <row r="234" spans="26:29">
      <c r="Z234">
        <f t="shared" si="9"/>
        <v>4.5437615457862695</v>
      </c>
      <c r="AA234">
        <v>222</v>
      </c>
      <c r="AB234">
        <f t="shared" si="10"/>
        <v>3.8746309394274117</v>
      </c>
      <c r="AC234">
        <f t="shared" si="11"/>
        <v>-0.66913060635885824</v>
      </c>
    </row>
    <row r="235" spans="26:29">
      <c r="Z235">
        <f t="shared" si="9"/>
        <v>4.5740825920098533</v>
      </c>
      <c r="AA235">
        <v>223</v>
      </c>
      <c r="AB235">
        <f t="shared" si="10"/>
        <v>3.8920842319473548</v>
      </c>
      <c r="AC235">
        <f t="shared" si="11"/>
        <v>-0.68199836006249837</v>
      </c>
    </row>
    <row r="236" spans="26:29">
      <c r="Z236">
        <f t="shared" si="9"/>
        <v>4.6041958949262956</v>
      </c>
      <c r="AA236">
        <v>224</v>
      </c>
      <c r="AB236">
        <f t="shared" si="10"/>
        <v>3.9095375244672983</v>
      </c>
      <c r="AC236">
        <f t="shared" si="11"/>
        <v>-0.69465837045899737</v>
      </c>
    </row>
    <row r="237" spans="26:29">
      <c r="Z237">
        <f t="shared" si="9"/>
        <v>4.6340975981737884</v>
      </c>
      <c r="AA237">
        <v>225</v>
      </c>
      <c r="AB237">
        <f t="shared" si="10"/>
        <v>3.9269908169872414</v>
      </c>
      <c r="AC237">
        <f t="shared" si="11"/>
        <v>-0.70710678118654746</v>
      </c>
    </row>
    <row r="238" spans="26:29">
      <c r="Z238">
        <f t="shared" si="9"/>
        <v>4.6637839098458356</v>
      </c>
      <c r="AA238">
        <v>226</v>
      </c>
      <c r="AB238">
        <f t="shared" si="10"/>
        <v>3.9444441095071845</v>
      </c>
      <c r="AC238">
        <f t="shared" si="11"/>
        <v>-0.71933980033865086</v>
      </c>
    </row>
    <row r="239" spans="26:29">
      <c r="Z239">
        <f t="shared" si="9"/>
        <v>4.6932511036462978</v>
      </c>
      <c r="AA239">
        <v>227</v>
      </c>
      <c r="AB239">
        <f t="shared" si="10"/>
        <v>3.9618974020271276</v>
      </c>
      <c r="AC239">
        <f t="shared" si="11"/>
        <v>-0.73135370161917013</v>
      </c>
    </row>
    <row r="240" spans="26:29">
      <c r="Z240">
        <f t="shared" si="9"/>
        <v>4.7224955200244647</v>
      </c>
      <c r="AA240">
        <v>228</v>
      </c>
      <c r="AB240">
        <f t="shared" si="10"/>
        <v>3.9793506945470711</v>
      </c>
      <c r="AC240">
        <f t="shared" si="11"/>
        <v>-0.74314482547739402</v>
      </c>
    </row>
    <row r="241" spans="26:29">
      <c r="Z241">
        <f t="shared" si="9"/>
        <v>4.7515135672897859</v>
      </c>
      <c r="AA241">
        <v>229</v>
      </c>
      <c r="AB241">
        <f t="shared" si="10"/>
        <v>3.9968039870670142</v>
      </c>
      <c r="AC241">
        <f t="shared" si="11"/>
        <v>-0.75470958022277168</v>
      </c>
    </row>
    <row r="242" spans="26:29">
      <c r="Z242">
        <f t="shared" si="9"/>
        <v>4.7803017227059357</v>
      </c>
      <c r="AA242">
        <v>230</v>
      </c>
      <c r="AB242">
        <f t="shared" si="10"/>
        <v>4.0142572795869578</v>
      </c>
      <c r="AC242">
        <f t="shared" si="11"/>
        <v>-0.7660444431189779</v>
      </c>
    </row>
    <row r="243" spans="26:29">
      <c r="Z243">
        <f t="shared" si="9"/>
        <v>4.8088565335638727</v>
      </c>
      <c r="AA243">
        <v>231</v>
      </c>
      <c r="AB243">
        <f t="shared" si="10"/>
        <v>4.0317105721069018</v>
      </c>
      <c r="AC243">
        <f t="shared" si="11"/>
        <v>-0.77714596145697112</v>
      </c>
    </row>
    <row r="244" spans="26:29">
      <c r="Z244">
        <f t="shared" si="9"/>
        <v>4.8371746182335666</v>
      </c>
      <c r="AA244">
        <v>232</v>
      </c>
      <c r="AB244">
        <f t="shared" si="10"/>
        <v>4.0491638646268449</v>
      </c>
      <c r="AC244">
        <f t="shared" si="11"/>
        <v>-0.78801075360672213</v>
      </c>
    </row>
    <row r="245" spans="26:29">
      <c r="Z245">
        <f t="shared" si="9"/>
        <v>4.8652526671940812</v>
      </c>
      <c r="AA245">
        <v>233</v>
      </c>
      <c r="AB245">
        <f t="shared" si="10"/>
        <v>4.066617157146788</v>
      </c>
      <c r="AC245">
        <f t="shared" si="11"/>
        <v>-0.79863551004729283</v>
      </c>
    </row>
    <row r="246" spans="26:29">
      <c r="Z246">
        <f t="shared" si="9"/>
        <v>4.8930874440416785</v>
      </c>
      <c r="AA246">
        <v>234</v>
      </c>
      <c r="AB246">
        <f t="shared" si="10"/>
        <v>4.0840704496667311</v>
      </c>
      <c r="AC246">
        <f t="shared" si="11"/>
        <v>-0.80901699437494734</v>
      </c>
    </row>
    <row r="247" spans="26:29">
      <c r="Z247">
        <f t="shared" si="9"/>
        <v>4.9206757864756661</v>
      </c>
      <c r="AA247">
        <v>235</v>
      </c>
      <c r="AB247">
        <f t="shared" si="10"/>
        <v>4.1015237421866741</v>
      </c>
      <c r="AC247">
        <f t="shared" si="11"/>
        <v>-0.81915204428899158</v>
      </c>
    </row>
    <row r="248" spans="26:29">
      <c r="Z248">
        <f t="shared" si="9"/>
        <v>4.9480146072616584</v>
      </c>
      <c r="AA248">
        <v>236</v>
      </c>
      <c r="AB248">
        <f t="shared" si="10"/>
        <v>4.1189770347066172</v>
      </c>
      <c r="AC248">
        <f t="shared" si="11"/>
        <v>-0.8290375725550414</v>
      </c>
    </row>
    <row r="249" spans="26:29">
      <c r="Z249">
        <f t="shared" si="9"/>
        <v>4.9751008951719857</v>
      </c>
      <c r="AA249">
        <v>237</v>
      </c>
      <c r="AB249">
        <f t="shared" si="10"/>
        <v>4.1364303272265612</v>
      </c>
      <c r="AC249">
        <f t="shared" si="11"/>
        <v>-0.83867056794542405</v>
      </c>
    </row>
    <row r="250" spans="26:29">
      <c r="Z250">
        <f t="shared" si="9"/>
        <v>5.0019317159029306</v>
      </c>
      <c r="AA250">
        <v>238</v>
      </c>
      <c r="AB250">
        <f t="shared" si="10"/>
        <v>4.1538836197465043</v>
      </c>
      <c r="AC250">
        <f t="shared" si="11"/>
        <v>-0.84804809615642596</v>
      </c>
    </row>
    <row r="251" spans="26:29">
      <c r="Z251">
        <f t="shared" si="9"/>
        <v>5.02850421296856</v>
      </c>
      <c r="AA251">
        <v>239</v>
      </c>
      <c r="AB251">
        <f t="shared" si="10"/>
        <v>4.1713369122664474</v>
      </c>
      <c r="AC251">
        <f t="shared" si="11"/>
        <v>-0.85716730070211211</v>
      </c>
    </row>
    <row r="252" spans="26:29">
      <c r="Z252">
        <f t="shared" si="9"/>
        <v>5.0548156085708289</v>
      </c>
      <c r="AA252">
        <v>240</v>
      </c>
      <c r="AB252">
        <f t="shared" si="10"/>
        <v>4.1887902047863905</v>
      </c>
      <c r="AC252">
        <f t="shared" si="11"/>
        <v>-0.86602540378443837</v>
      </c>
    </row>
    <row r="253" spans="26:29">
      <c r="Z253">
        <f t="shared" si="9"/>
        <v>5.0808632044457305</v>
      </c>
      <c r="AA253">
        <v>241</v>
      </c>
      <c r="AB253">
        <f t="shared" si="10"/>
        <v>4.2062434973063345</v>
      </c>
      <c r="AC253">
        <f t="shared" si="11"/>
        <v>-0.87461970713939596</v>
      </c>
    </row>
    <row r="254" spans="26:29">
      <c r="Z254">
        <f t="shared" si="9"/>
        <v>5.1066443826852046</v>
      </c>
      <c r="AA254">
        <v>242</v>
      </c>
      <c r="AB254">
        <f t="shared" si="10"/>
        <v>4.2236967898262776</v>
      </c>
      <c r="AC254">
        <f t="shared" si="11"/>
        <v>-0.88294759285892699</v>
      </c>
    </row>
    <row r="255" spans="26:29">
      <c r="Z255">
        <f t="shared" si="9"/>
        <v>5.1321566065345881</v>
      </c>
      <c r="AA255">
        <v>243</v>
      </c>
      <c r="AB255">
        <f t="shared" si="10"/>
        <v>4.2411500823462207</v>
      </c>
      <c r="AC255">
        <f t="shared" si="11"/>
        <v>-0.89100652418836779</v>
      </c>
    </row>
    <row r="256" spans="26:29">
      <c r="Z256">
        <f t="shared" si="9"/>
        <v>5.1573974211653306</v>
      </c>
      <c r="AA256">
        <v>244</v>
      </c>
      <c r="AB256">
        <f t="shared" si="10"/>
        <v>4.2586033748661638</v>
      </c>
      <c r="AC256">
        <f t="shared" si="11"/>
        <v>-0.89879404629916682</v>
      </c>
    </row>
    <row r="257" spans="26:29">
      <c r="Z257">
        <f t="shared" si="9"/>
        <v>5.1823644544227569</v>
      </c>
      <c r="AA257">
        <v>245</v>
      </c>
      <c r="AB257">
        <f t="shared" si="10"/>
        <v>4.2760566673861069</v>
      </c>
      <c r="AC257">
        <f t="shared" si="11"/>
        <v>-0.90630778703664971</v>
      </c>
    </row>
    <row r="258" spans="26:29">
      <c r="Z258">
        <f t="shared" si="9"/>
        <v>5.2070554175486521</v>
      </c>
      <c r="AA258">
        <v>246</v>
      </c>
      <c r="AB258">
        <f t="shared" si="10"/>
        <v>4.2935099599060509</v>
      </c>
      <c r="AC258">
        <f t="shared" si="11"/>
        <v>-0.91354545764260098</v>
      </c>
    </row>
    <row r="259" spans="26:29">
      <c r="Z259">
        <f t="shared" si="9"/>
        <v>5.2314681058784345</v>
      </c>
      <c r="AA259">
        <v>247</v>
      </c>
      <c r="AB259">
        <f t="shared" si="10"/>
        <v>4.310963252425994</v>
      </c>
      <c r="AC259">
        <f t="shared" si="11"/>
        <v>-0.92050485345244026</v>
      </c>
    </row>
    <row r="260" spans="26:29">
      <c r="Z260">
        <f t="shared" si="9"/>
        <v>5.2556003995127245</v>
      </c>
      <c r="AA260">
        <v>248</v>
      </c>
      <c r="AB260">
        <f t="shared" si="10"/>
        <v>4.3284165449459371</v>
      </c>
      <c r="AC260">
        <f t="shared" si="11"/>
        <v>-0.92718385456678731</v>
      </c>
    </row>
    <row r="261" spans="26:29">
      <c r="Z261">
        <f t="shared" si="9"/>
        <v>5.2794502639630814</v>
      </c>
      <c r="AA261">
        <v>249</v>
      </c>
      <c r="AB261">
        <f t="shared" si="10"/>
        <v>4.3458698374658802</v>
      </c>
      <c r="AC261">
        <f t="shared" si="11"/>
        <v>-0.93358042649720163</v>
      </c>
    </row>
    <row r="262" spans="26:29">
      <c r="Z262">
        <f t="shared" si="9"/>
        <v>5.3030157507717313</v>
      </c>
      <c r="AA262">
        <v>250</v>
      </c>
      <c r="AB262">
        <f t="shared" si="10"/>
        <v>4.3633231299858233</v>
      </c>
      <c r="AC262">
        <f t="shared" si="11"/>
        <v>-0.93969262078590821</v>
      </c>
    </row>
    <row r="263" spans="26:29">
      <c r="Z263">
        <f t="shared" si="9"/>
        <v>5.3262949981050838</v>
      </c>
      <c r="AA263">
        <v>251</v>
      </c>
      <c r="AB263">
        <f t="shared" si="10"/>
        <v>4.3807764225057673</v>
      </c>
      <c r="AC263">
        <f t="shared" si="11"/>
        <v>-0.94551857559931685</v>
      </c>
    </row>
    <row r="264" spans="26:29">
      <c r="Z264">
        <f t="shared" si="9"/>
        <v>5.349286231320864</v>
      </c>
      <c r="AA264">
        <v>252</v>
      </c>
      <c r="AB264">
        <f t="shared" si="10"/>
        <v>4.3982297150257104</v>
      </c>
      <c r="AC264">
        <f t="shared" si="11"/>
        <v>-0.95105651629515353</v>
      </c>
    </row>
    <row r="265" spans="26:29">
      <c r="Z265">
        <f t="shared" si="9"/>
        <v>5.371987763508689</v>
      </c>
      <c r="AA265">
        <v>253</v>
      </c>
      <c r="AB265">
        <f t="shared" si="10"/>
        <v>4.4156830075456535</v>
      </c>
      <c r="AC265">
        <f t="shared" si="11"/>
        <v>-0.95630475596303532</v>
      </c>
    </row>
    <row r="266" spans="26:29">
      <c r="Z266">
        <f t="shared" si="9"/>
        <v>5.3943979960039163</v>
      </c>
      <c r="AA266">
        <v>254</v>
      </c>
      <c r="AB266">
        <f t="shared" si="10"/>
        <v>4.4331363000655974</v>
      </c>
      <c r="AC266">
        <f t="shared" si="11"/>
        <v>-0.96126169593831901</v>
      </c>
    </row>
    <row r="267" spans="26:29">
      <c r="Z267">
        <f t="shared" si="9"/>
        <v>5.4165154188746092</v>
      </c>
      <c r="AA267">
        <v>255</v>
      </c>
      <c r="AB267">
        <f t="shared" si="10"/>
        <v>4.4505895925855405</v>
      </c>
      <c r="AC267">
        <f t="shared" si="11"/>
        <v>-0.96592582628906831</v>
      </c>
    </row>
    <row r="268" spans="26:29">
      <c r="Z268">
        <f t="shared" si="9"/>
        <v>5.4383386113814804</v>
      </c>
      <c r="AA268">
        <v>256</v>
      </c>
      <c r="AB268">
        <f t="shared" si="10"/>
        <v>4.4680428851054836</v>
      </c>
      <c r="AC268">
        <f t="shared" si="11"/>
        <v>-0.97029572627599647</v>
      </c>
    </row>
    <row r="269" spans="26:29">
      <c r="Z269">
        <f t="shared" ref="Z269:Z332" si="12">AB269-SIN(AB269)</f>
        <v>5.4598662424106621</v>
      </c>
      <c r="AA269">
        <v>257</v>
      </c>
      <c r="AB269">
        <f t="shared" ref="AB269:AB332" si="13">AA269*PI()/180</f>
        <v>4.4854961776254267</v>
      </c>
      <c r="AC269">
        <f t="shared" ref="AC269:AC332" si="14">SIN(AB269)</f>
        <v>-0.97437006478523513</v>
      </c>
    </row>
    <row r="270" spans="26:29">
      <c r="Z270">
        <f t="shared" si="12"/>
        <v>5.4810970708791755</v>
      </c>
      <c r="AA270">
        <v>258</v>
      </c>
      <c r="AB270">
        <f t="shared" si="13"/>
        <v>4.5029494701453698</v>
      </c>
      <c r="AC270">
        <f t="shared" si="14"/>
        <v>-0.97814760073380558</v>
      </c>
    </row>
    <row r="271" spans="26:29">
      <c r="Z271">
        <f t="shared" si="12"/>
        <v>5.5020299461129767</v>
      </c>
      <c r="AA271">
        <v>259</v>
      </c>
      <c r="AB271">
        <f t="shared" si="13"/>
        <v>4.5204027626653129</v>
      </c>
      <c r="AC271">
        <f t="shared" si="14"/>
        <v>-0.98162718344766386</v>
      </c>
    </row>
    <row r="272" spans="26:29">
      <c r="Z272">
        <f t="shared" si="12"/>
        <v>5.5226638081974651</v>
      </c>
      <c r="AA272">
        <v>260</v>
      </c>
      <c r="AB272">
        <f t="shared" si="13"/>
        <v>4.5378560551852569</v>
      </c>
      <c r="AC272">
        <f t="shared" si="14"/>
        <v>-0.98480775301220802</v>
      </c>
    </row>
    <row r="273" spans="26:29">
      <c r="Z273">
        <f t="shared" si="12"/>
        <v>5.5429976883003373</v>
      </c>
      <c r="AA273">
        <v>261</v>
      </c>
      <c r="AB273">
        <f t="shared" si="13"/>
        <v>4.5553093477052</v>
      </c>
      <c r="AC273">
        <f t="shared" si="14"/>
        <v>-0.98768834059513766</v>
      </c>
    </row>
    <row r="274" spans="26:29">
      <c r="Z274">
        <f t="shared" si="12"/>
        <v>5.5630307089667141</v>
      </c>
      <c r="AA274">
        <v>262</v>
      </c>
      <c r="AB274">
        <f t="shared" si="13"/>
        <v>4.572762640225144</v>
      </c>
      <c r="AC274">
        <f t="shared" si="14"/>
        <v>-0.99026806874157036</v>
      </c>
    </row>
    <row r="275" spans="26:29">
      <c r="Z275">
        <f t="shared" si="12"/>
        <v>5.5827620843864096</v>
      </c>
      <c r="AA275">
        <v>263</v>
      </c>
      <c r="AB275">
        <f t="shared" si="13"/>
        <v>4.5902159327450871</v>
      </c>
      <c r="AC275">
        <f t="shared" si="14"/>
        <v>-0.99254615164132209</v>
      </c>
    </row>
    <row r="276" spans="26:29">
      <c r="Z276">
        <f t="shared" si="12"/>
        <v>5.6021911206333037</v>
      </c>
      <c r="AA276">
        <v>264</v>
      </c>
      <c r="AB276">
        <f t="shared" si="13"/>
        <v>4.6076692252650302</v>
      </c>
      <c r="AC276">
        <f t="shared" si="14"/>
        <v>-0.9945218953682734</v>
      </c>
    </row>
    <row r="277" spans="26:29">
      <c r="Z277">
        <f t="shared" si="12"/>
        <v>5.6213172158767186</v>
      </c>
      <c r="AA277">
        <v>265</v>
      </c>
      <c r="AB277">
        <f t="shared" si="13"/>
        <v>4.6251225177849733</v>
      </c>
      <c r="AC277">
        <f t="shared" si="14"/>
        <v>-0.99619469809174555</v>
      </c>
    </row>
    <row r="278" spans="26:29">
      <c r="Z278">
        <f t="shared" si="12"/>
        <v>5.6401398605647408</v>
      </c>
      <c r="AA278">
        <v>266</v>
      </c>
      <c r="AB278">
        <f t="shared" si="13"/>
        <v>4.6425758103049164</v>
      </c>
      <c r="AC278">
        <f t="shared" si="14"/>
        <v>-0.9975640502598242</v>
      </c>
    </row>
    <row r="279" spans="26:29">
      <c r="Z279">
        <f t="shared" si="12"/>
        <v>5.6586586375794337</v>
      </c>
      <c r="AA279">
        <v>267</v>
      </c>
      <c r="AB279">
        <f t="shared" si="13"/>
        <v>4.6600291028248595</v>
      </c>
      <c r="AC279">
        <f t="shared" si="14"/>
        <v>-0.99862953475457383</v>
      </c>
    </row>
    <row r="280" spans="26:29">
      <c r="Z280">
        <f t="shared" si="12"/>
        <v>5.6768732223638985</v>
      </c>
      <c r="AA280">
        <v>268</v>
      </c>
      <c r="AB280">
        <f t="shared" si="13"/>
        <v>4.6774823953448026</v>
      </c>
      <c r="AC280">
        <f t="shared" si="14"/>
        <v>-0.99939082701909565</v>
      </c>
    </row>
    <row r="281" spans="26:29">
      <c r="Z281">
        <f t="shared" si="12"/>
        <v>5.6947833830211376</v>
      </c>
      <c r="AA281">
        <v>269</v>
      </c>
      <c r="AB281">
        <f t="shared" si="13"/>
        <v>4.6949356878647466</v>
      </c>
      <c r="AC281">
        <f t="shared" si="14"/>
        <v>-0.99984769515639127</v>
      </c>
    </row>
    <row r="282" spans="26:29">
      <c r="Z282">
        <f t="shared" si="12"/>
        <v>5.7123889803846897</v>
      </c>
      <c r="AA282">
        <v>270</v>
      </c>
      <c r="AB282">
        <f t="shared" si="13"/>
        <v>4.7123889803846897</v>
      </c>
      <c r="AC282">
        <f t="shared" si="14"/>
        <v>-1</v>
      </c>
    </row>
    <row r="283" spans="26:29">
      <c r="Z283">
        <f t="shared" si="12"/>
        <v>5.7296899680610238</v>
      </c>
      <c r="AA283">
        <v>271</v>
      </c>
      <c r="AB283">
        <f t="shared" si="13"/>
        <v>4.7298422729046328</v>
      </c>
      <c r="AC283">
        <f t="shared" si="14"/>
        <v>-0.99984769515639127</v>
      </c>
    </row>
    <row r="284" spans="26:29">
      <c r="Z284">
        <f t="shared" si="12"/>
        <v>5.7466863924436726</v>
      </c>
      <c r="AA284">
        <v>272</v>
      </c>
      <c r="AB284">
        <f t="shared" si="13"/>
        <v>4.7472955654245768</v>
      </c>
      <c r="AC284">
        <f t="shared" si="14"/>
        <v>-0.99939082701909576</v>
      </c>
    </row>
    <row r="285" spans="26:29">
      <c r="Z285">
        <f t="shared" si="12"/>
        <v>5.763378392699094</v>
      </c>
      <c r="AA285">
        <v>273</v>
      </c>
      <c r="AB285">
        <f t="shared" si="13"/>
        <v>4.7647488579445199</v>
      </c>
      <c r="AC285">
        <f t="shared" si="14"/>
        <v>-0.99862953475457383</v>
      </c>
    </row>
    <row r="286" spans="26:29">
      <c r="Z286">
        <f t="shared" si="12"/>
        <v>5.7797662007242874</v>
      </c>
      <c r="AA286">
        <v>274</v>
      </c>
      <c r="AB286">
        <f t="shared" si="13"/>
        <v>4.782202150464463</v>
      </c>
      <c r="AC286">
        <f t="shared" si="14"/>
        <v>-0.99756405025982431</v>
      </c>
    </row>
    <row r="287" spans="26:29">
      <c r="Z287">
        <f t="shared" si="12"/>
        <v>5.7958501410761514</v>
      </c>
      <c r="AA287">
        <v>275</v>
      </c>
      <c r="AB287">
        <f t="shared" si="13"/>
        <v>4.7996554429844061</v>
      </c>
      <c r="AC287">
        <f t="shared" si="14"/>
        <v>-0.99619469809174555</v>
      </c>
    </row>
    <row r="288" spans="26:29">
      <c r="Z288">
        <f t="shared" si="12"/>
        <v>5.8116306308726227</v>
      </c>
      <c r="AA288">
        <v>276</v>
      </c>
      <c r="AB288">
        <f t="shared" si="13"/>
        <v>4.8171087355043491</v>
      </c>
      <c r="AC288">
        <f t="shared" si="14"/>
        <v>-0.9945218953682734</v>
      </c>
    </row>
    <row r="289" spans="26:29">
      <c r="Z289">
        <f t="shared" si="12"/>
        <v>5.8271081796656148</v>
      </c>
      <c r="AA289">
        <v>277</v>
      </c>
      <c r="AB289">
        <f t="shared" si="13"/>
        <v>4.8345620280242931</v>
      </c>
      <c r="AC289">
        <f t="shared" si="14"/>
        <v>-0.99254615164132198</v>
      </c>
    </row>
    <row r="290" spans="26:29">
      <c r="Z290">
        <f t="shared" si="12"/>
        <v>5.8422833892858064</v>
      </c>
      <c r="AA290">
        <v>278</v>
      </c>
      <c r="AB290">
        <f t="shared" si="13"/>
        <v>4.8520153205442362</v>
      </c>
      <c r="AC290">
        <f t="shared" si="14"/>
        <v>-0.99026806874157036</v>
      </c>
    </row>
    <row r="291" spans="26:29">
      <c r="Z291">
        <f t="shared" si="12"/>
        <v>5.8571569536593167</v>
      </c>
      <c r="AA291">
        <v>279</v>
      </c>
      <c r="AB291">
        <f t="shared" si="13"/>
        <v>4.8694686130641793</v>
      </c>
      <c r="AC291">
        <f t="shared" si="14"/>
        <v>-0.98768834059513777</v>
      </c>
    </row>
    <row r="292" spans="26:29">
      <c r="Z292">
        <f t="shared" si="12"/>
        <v>5.8717296585963306</v>
      </c>
      <c r="AA292">
        <v>280</v>
      </c>
      <c r="AB292">
        <f t="shared" si="13"/>
        <v>4.8869219055841224</v>
      </c>
      <c r="AC292">
        <f t="shared" si="14"/>
        <v>-0.98480775301220813</v>
      </c>
    </row>
    <row r="293" spans="26:29">
      <c r="Z293">
        <f t="shared" si="12"/>
        <v>5.8860023815517293</v>
      </c>
      <c r="AA293">
        <v>281</v>
      </c>
      <c r="AB293">
        <f t="shared" si="13"/>
        <v>4.9043751981040655</v>
      </c>
      <c r="AC293">
        <f t="shared" si="14"/>
        <v>-0.98162718344766409</v>
      </c>
    </row>
    <row r="294" spans="26:29">
      <c r="Z294">
        <f t="shared" si="12"/>
        <v>5.8999760913578143</v>
      </c>
      <c r="AA294">
        <v>282</v>
      </c>
      <c r="AB294">
        <f t="shared" si="13"/>
        <v>4.9218284906240086</v>
      </c>
      <c r="AC294">
        <f t="shared" si="14"/>
        <v>-0.9781476007338058</v>
      </c>
    </row>
    <row r="295" spans="26:29">
      <c r="Z295">
        <f t="shared" si="12"/>
        <v>5.913651847929188</v>
      </c>
      <c r="AA295">
        <v>283</v>
      </c>
      <c r="AB295">
        <f t="shared" si="13"/>
        <v>4.9392817831439526</v>
      </c>
      <c r="AC295">
        <f t="shared" si="14"/>
        <v>-0.97437006478523525</v>
      </c>
    </row>
    <row r="296" spans="26:29">
      <c r="Z296">
        <f t="shared" si="12"/>
        <v>5.9270308019398925</v>
      </c>
      <c r="AA296">
        <v>284</v>
      </c>
      <c r="AB296">
        <f t="shared" si="13"/>
        <v>4.9567350756638957</v>
      </c>
      <c r="AC296">
        <f t="shared" si="14"/>
        <v>-0.97029572627599658</v>
      </c>
    </row>
    <row r="297" spans="26:29">
      <c r="Z297">
        <f t="shared" si="12"/>
        <v>5.9401141944729083</v>
      </c>
      <c r="AA297">
        <v>285</v>
      </c>
      <c r="AB297">
        <f t="shared" si="13"/>
        <v>4.9741883681838397</v>
      </c>
      <c r="AC297">
        <f t="shared" si="14"/>
        <v>-0.9659258262890682</v>
      </c>
    </row>
    <row r="298" spans="26:29">
      <c r="Z298">
        <f t="shared" si="12"/>
        <v>5.9529033566421017</v>
      </c>
      <c r="AA298">
        <v>286</v>
      </c>
      <c r="AB298">
        <f t="shared" si="13"/>
        <v>4.9916416607037828</v>
      </c>
      <c r="AC298">
        <f t="shared" si="14"/>
        <v>-0.96126169593831878</v>
      </c>
    </row>
    <row r="299" spans="26:29">
      <c r="Z299">
        <f t="shared" si="12"/>
        <v>5.9653997091867614</v>
      </c>
      <c r="AA299">
        <v>287</v>
      </c>
      <c r="AB299">
        <f t="shared" si="13"/>
        <v>5.0090949532237259</v>
      </c>
      <c r="AC299">
        <f t="shared" si="14"/>
        <v>-0.95630475596303544</v>
      </c>
    </row>
    <row r="300" spans="26:29">
      <c r="Z300">
        <f t="shared" si="12"/>
        <v>5.9776047620388226</v>
      </c>
      <c r="AA300">
        <v>288</v>
      </c>
      <c r="AB300">
        <f t="shared" si="13"/>
        <v>5.026548245743669</v>
      </c>
      <c r="AC300">
        <f t="shared" si="14"/>
        <v>-0.95105651629515364</v>
      </c>
    </row>
    <row r="301" spans="26:29">
      <c r="Z301">
        <f t="shared" si="12"/>
        <v>5.9895201138629286</v>
      </c>
      <c r="AA301">
        <v>289</v>
      </c>
      <c r="AB301">
        <f t="shared" si="13"/>
        <v>5.0440015382636121</v>
      </c>
      <c r="AC301">
        <f t="shared" si="14"/>
        <v>-0.94551857559931696</v>
      </c>
    </row>
    <row r="302" spans="26:29">
      <c r="Z302">
        <f t="shared" si="12"/>
        <v>6.0011474515694641</v>
      </c>
      <c r="AA302">
        <v>290</v>
      </c>
      <c r="AB302">
        <f t="shared" si="13"/>
        <v>5.0614548307835552</v>
      </c>
      <c r="AC302">
        <f t="shared" si="14"/>
        <v>-0.93969262078590854</v>
      </c>
    </row>
    <row r="303" spans="26:29">
      <c r="Z303">
        <f t="shared" si="12"/>
        <v>6.0124885498007004</v>
      </c>
      <c r="AA303">
        <v>291</v>
      </c>
      <c r="AB303">
        <f t="shared" si="13"/>
        <v>5.0789081233034983</v>
      </c>
      <c r="AC303">
        <f t="shared" si="14"/>
        <v>-0.93358042649720208</v>
      </c>
    </row>
    <row r="304" spans="26:29">
      <c r="Z304">
        <f t="shared" si="12"/>
        <v>6.0235452703902297</v>
      </c>
      <c r="AA304">
        <v>292</v>
      </c>
      <c r="AB304">
        <f t="shared" si="13"/>
        <v>5.0963614158234423</v>
      </c>
      <c r="AC304">
        <f t="shared" si="14"/>
        <v>-0.92718385456678742</v>
      </c>
    </row>
    <row r="305" spans="26:29">
      <c r="Z305">
        <f t="shared" si="12"/>
        <v>6.0343195617958258</v>
      </c>
      <c r="AA305">
        <v>293</v>
      </c>
      <c r="AB305">
        <f t="shared" si="13"/>
        <v>5.1138147083433854</v>
      </c>
      <c r="AC305">
        <f t="shared" si="14"/>
        <v>-0.92050485345244049</v>
      </c>
    </row>
    <row r="306" spans="26:29">
      <c r="Z306">
        <f t="shared" si="12"/>
        <v>6.0448134585059297</v>
      </c>
      <c r="AA306">
        <v>294</v>
      </c>
      <c r="AB306">
        <f t="shared" si="13"/>
        <v>5.1312680008633293</v>
      </c>
      <c r="AC306">
        <f t="shared" si="14"/>
        <v>-0.91354545764260076</v>
      </c>
    </row>
    <row r="307" spans="26:29">
      <c r="Z307">
        <f t="shared" si="12"/>
        <v>6.0550290804199225</v>
      </c>
      <c r="AA307">
        <v>295</v>
      </c>
      <c r="AB307">
        <f t="shared" si="13"/>
        <v>5.1487212933832724</v>
      </c>
      <c r="AC307">
        <f t="shared" si="14"/>
        <v>-0.90630778703664994</v>
      </c>
    </row>
    <row r="308" spans="26:29">
      <c r="Z308">
        <f t="shared" si="12"/>
        <v>6.0649686322023824</v>
      </c>
      <c r="AA308">
        <v>296</v>
      </c>
      <c r="AB308">
        <f t="shared" si="13"/>
        <v>5.1661745859032155</v>
      </c>
      <c r="AC308">
        <f t="shared" si="14"/>
        <v>-0.89879404629916704</v>
      </c>
    </row>
    <row r="309" spans="26:29">
      <c r="Z309">
        <f t="shared" si="12"/>
        <v>6.0746344026115269</v>
      </c>
      <c r="AA309">
        <v>297</v>
      </c>
      <c r="AB309">
        <f t="shared" si="13"/>
        <v>5.1836278784231586</v>
      </c>
      <c r="AC309">
        <f t="shared" si="14"/>
        <v>-0.8910065241883679</v>
      </c>
    </row>
    <row r="310" spans="26:29">
      <c r="Z310">
        <f t="shared" si="12"/>
        <v>6.0840287638020287</v>
      </c>
      <c r="AA310">
        <v>298</v>
      </c>
      <c r="AB310">
        <f t="shared" si="13"/>
        <v>5.2010811709431017</v>
      </c>
      <c r="AC310">
        <f t="shared" si="14"/>
        <v>-0.8829475928589271</v>
      </c>
    </row>
    <row r="311" spans="26:29">
      <c r="Z311">
        <f t="shared" si="12"/>
        <v>6.0931541706024408</v>
      </c>
      <c r="AA311">
        <v>299</v>
      </c>
      <c r="AB311">
        <f t="shared" si="13"/>
        <v>5.2185344634630448</v>
      </c>
      <c r="AC311">
        <f t="shared" si="14"/>
        <v>-0.87461970713939607</v>
      </c>
    </row>
    <row r="312" spans="26:29">
      <c r="Z312">
        <f t="shared" si="12"/>
        <v>6.1020131597674272</v>
      </c>
      <c r="AA312">
        <v>300</v>
      </c>
      <c r="AB312">
        <f t="shared" si="13"/>
        <v>5.2359877559829888</v>
      </c>
      <c r="AC312">
        <f t="shared" si="14"/>
        <v>-0.8660254037844386</v>
      </c>
    </row>
    <row r="313" spans="26:29">
      <c r="Z313">
        <f t="shared" si="12"/>
        <v>6.1106083492050445</v>
      </c>
      <c r="AA313">
        <v>301</v>
      </c>
      <c r="AB313">
        <f t="shared" si="13"/>
        <v>5.2534410485029319</v>
      </c>
      <c r="AC313">
        <f t="shared" si="14"/>
        <v>-0.85716730070211233</v>
      </c>
    </row>
    <row r="314" spans="26:29">
      <c r="Z314">
        <f t="shared" si="12"/>
        <v>6.1189424371793013</v>
      </c>
      <c r="AA314">
        <v>302</v>
      </c>
      <c r="AB314">
        <f t="shared" si="13"/>
        <v>5.270894341022875</v>
      </c>
      <c r="AC314">
        <f t="shared" si="14"/>
        <v>-0.84804809615642618</v>
      </c>
    </row>
    <row r="315" spans="26:29">
      <c r="Z315">
        <f t="shared" si="12"/>
        <v>6.1270182014882426</v>
      </c>
      <c r="AA315">
        <v>303</v>
      </c>
      <c r="AB315">
        <f t="shared" si="13"/>
        <v>5.2883476335428181</v>
      </c>
      <c r="AC315">
        <f t="shared" si="14"/>
        <v>-0.83867056794542427</v>
      </c>
    </row>
    <row r="316" spans="26:29">
      <c r="Z316">
        <f t="shared" si="12"/>
        <v>6.1348384986178033</v>
      </c>
      <c r="AA316">
        <v>304</v>
      </c>
      <c r="AB316">
        <f t="shared" si="13"/>
        <v>5.3058009260627612</v>
      </c>
      <c r="AC316">
        <f t="shared" si="14"/>
        <v>-0.82903757255504207</v>
      </c>
    </row>
    <row r="317" spans="26:29">
      <c r="Z317">
        <f t="shared" si="12"/>
        <v>6.1424062628716971</v>
      </c>
      <c r="AA317">
        <v>305</v>
      </c>
      <c r="AB317">
        <f t="shared" si="13"/>
        <v>5.3232542185827052</v>
      </c>
      <c r="AC317">
        <f t="shared" si="14"/>
        <v>-0.8191520442889918</v>
      </c>
    </row>
    <row r="318" spans="26:29">
      <c r="Z318">
        <f t="shared" si="12"/>
        <v>6.1497245054775957</v>
      </c>
      <c r="AA318">
        <v>306</v>
      </c>
      <c r="AB318">
        <f t="shared" si="13"/>
        <v>5.3407075111026483</v>
      </c>
      <c r="AC318">
        <f t="shared" si="14"/>
        <v>-0.80901699437494756</v>
      </c>
    </row>
    <row r="319" spans="26:29">
      <c r="Z319">
        <f t="shared" si="12"/>
        <v>6.1567963136698847</v>
      </c>
      <c r="AA319">
        <v>307</v>
      </c>
      <c r="AB319">
        <f t="shared" si="13"/>
        <v>5.3581608036225914</v>
      </c>
      <c r="AC319">
        <f t="shared" si="14"/>
        <v>-0.79863551004729305</v>
      </c>
    </row>
    <row r="320" spans="26:29">
      <c r="Z320">
        <f t="shared" si="12"/>
        <v>6.1636248497492572</v>
      </c>
      <c r="AA320">
        <v>308</v>
      </c>
      <c r="AB320">
        <f t="shared" si="13"/>
        <v>5.3756140961425354</v>
      </c>
      <c r="AC320">
        <f t="shared" si="14"/>
        <v>-0.78801075360672179</v>
      </c>
    </row>
    <row r="321" spans="26:29">
      <c r="Z321">
        <f t="shared" si="12"/>
        <v>6.1702133501194494</v>
      </c>
      <c r="AA321">
        <v>309</v>
      </c>
      <c r="AB321">
        <f t="shared" si="13"/>
        <v>5.3930673886624785</v>
      </c>
      <c r="AC321">
        <f t="shared" si="14"/>
        <v>-0.77714596145697079</v>
      </c>
    </row>
    <row r="322" spans="26:29">
      <c r="Z322">
        <f t="shared" si="12"/>
        <v>6.1765651243013995</v>
      </c>
      <c r="AA322">
        <v>310</v>
      </c>
      <c r="AB322">
        <f t="shared" si="13"/>
        <v>5.4105206811824216</v>
      </c>
      <c r="AC322">
        <f t="shared" si="14"/>
        <v>-0.76604444311897812</v>
      </c>
    </row>
    <row r="323" spans="26:29">
      <c r="Z323">
        <f t="shared" si="12"/>
        <v>6.1826835539251368</v>
      </c>
      <c r="AA323">
        <v>311</v>
      </c>
      <c r="AB323">
        <f t="shared" si="13"/>
        <v>5.4279739737023647</v>
      </c>
      <c r="AC323">
        <f t="shared" si="14"/>
        <v>-0.75470958022277224</v>
      </c>
    </row>
    <row r="324" spans="26:29">
      <c r="Z324">
        <f t="shared" si="12"/>
        <v>6.1885720916997027</v>
      </c>
      <c r="AA324">
        <v>312</v>
      </c>
      <c r="AB324">
        <f t="shared" si="13"/>
        <v>5.4454272662223078</v>
      </c>
      <c r="AC324">
        <f t="shared" si="14"/>
        <v>-0.74314482547739458</v>
      </c>
    </row>
    <row r="325" spans="26:29">
      <c r="Z325">
        <f t="shared" si="12"/>
        <v>6.194234260361422</v>
      </c>
      <c r="AA325">
        <v>313</v>
      </c>
      <c r="AB325">
        <f t="shared" si="13"/>
        <v>5.4628805587422509</v>
      </c>
      <c r="AC325">
        <f t="shared" si="14"/>
        <v>-0.73135370161917101</v>
      </c>
    </row>
    <row r="326" spans="26:29">
      <c r="Z326">
        <f t="shared" si="12"/>
        <v>6.1996736516008459</v>
      </c>
      <c r="AA326">
        <v>314</v>
      </c>
      <c r="AB326">
        <f t="shared" si="13"/>
        <v>5.480333851262194</v>
      </c>
      <c r="AC326">
        <f t="shared" si="14"/>
        <v>-0.71933980033865175</v>
      </c>
    </row>
    <row r="327" spans="26:29">
      <c r="Z327">
        <f t="shared" si="12"/>
        <v>6.2048939249686859</v>
      </c>
      <c r="AA327">
        <v>315</v>
      </c>
      <c r="AB327">
        <f t="shared" si="13"/>
        <v>5.497787143782138</v>
      </c>
      <c r="AC327">
        <f t="shared" si="14"/>
        <v>-0.70710678118654768</v>
      </c>
    </row>
    <row r="328" spans="26:29">
      <c r="Z328">
        <f t="shared" si="12"/>
        <v>6.2098988067610783</v>
      </c>
      <c r="AA328">
        <v>316</v>
      </c>
      <c r="AB328">
        <f t="shared" si="13"/>
        <v>5.5152404363020811</v>
      </c>
      <c r="AC328">
        <f t="shared" si="14"/>
        <v>-0.69465837045899759</v>
      </c>
    </row>
    <row r="329" spans="26:29">
      <c r="Z329">
        <f t="shared" si="12"/>
        <v>6.2146920888845232</v>
      </c>
      <c r="AA329">
        <v>317</v>
      </c>
      <c r="AB329">
        <f t="shared" si="13"/>
        <v>5.532693728822025</v>
      </c>
      <c r="AC329">
        <f t="shared" si="14"/>
        <v>-0.68199836006249825</v>
      </c>
    </row>
    <row r="330" spans="26:29">
      <c r="Z330">
        <f t="shared" si="12"/>
        <v>6.2192776277008264</v>
      </c>
      <c r="AA330">
        <v>318</v>
      </c>
      <c r="AB330">
        <f t="shared" si="13"/>
        <v>5.5501470213419681</v>
      </c>
      <c r="AC330">
        <f t="shared" si="14"/>
        <v>-0.66913060635885813</v>
      </c>
    </row>
    <row r="331" spans="26:29">
      <c r="Z331">
        <f t="shared" si="12"/>
        <v>6.223659342852419</v>
      </c>
      <c r="AA331">
        <v>319</v>
      </c>
      <c r="AB331">
        <f t="shared" si="13"/>
        <v>5.5676003138619112</v>
      </c>
      <c r="AC331">
        <f t="shared" si="14"/>
        <v>-0.65605902899050739</v>
      </c>
    </row>
    <row r="332" spans="26:29">
      <c r="Z332">
        <f t="shared" si="12"/>
        <v>6.227841216068394</v>
      </c>
      <c r="AA332">
        <v>320</v>
      </c>
      <c r="AB332">
        <f t="shared" si="13"/>
        <v>5.5850536063818543</v>
      </c>
      <c r="AC332">
        <f t="shared" si="14"/>
        <v>-0.64278760968653958</v>
      </c>
    </row>
    <row r="333" spans="26:29">
      <c r="Z333">
        <f t="shared" ref="Z333:Z372" si="15">AB333-SIN(AB333)</f>
        <v>6.2318272899516352</v>
      </c>
      <c r="AA333">
        <v>321</v>
      </c>
      <c r="AB333">
        <f t="shared" ref="AB333:AB372" si="16">AA333*PI()/180</f>
        <v>5.6025068989017974</v>
      </c>
      <c r="AC333">
        <f t="shared" ref="AC333:AC372" si="17">SIN(AB333)</f>
        <v>-0.62932039104983784</v>
      </c>
    </row>
    <row r="334" spans="26:29">
      <c r="Z334">
        <f t="shared" si="15"/>
        <v>6.2356216667473996</v>
      </c>
      <c r="AA334">
        <v>322</v>
      </c>
      <c r="AB334">
        <f t="shared" si="16"/>
        <v>5.6199601914217405</v>
      </c>
      <c r="AC334">
        <f t="shared" si="17"/>
        <v>-0.61566147532565885</v>
      </c>
    </row>
    <row r="335" spans="26:29">
      <c r="Z335">
        <f t="shared" si="15"/>
        <v>6.239228507093733</v>
      </c>
      <c r="AA335">
        <v>323</v>
      </c>
      <c r="AB335">
        <f t="shared" si="16"/>
        <v>5.6374134839416845</v>
      </c>
      <c r="AC335">
        <f t="shared" si="17"/>
        <v>-0.60181502315204827</v>
      </c>
    </row>
    <row r="336" spans="26:29">
      <c r="Z336">
        <f t="shared" si="15"/>
        <v>6.242652028754101</v>
      </c>
      <c r="AA336">
        <v>324</v>
      </c>
      <c r="AB336">
        <f t="shared" si="16"/>
        <v>5.6548667764616276</v>
      </c>
      <c r="AC336">
        <f t="shared" si="17"/>
        <v>-0.58778525229247336</v>
      </c>
    </row>
    <row r="337" spans="26:29">
      <c r="Z337">
        <f t="shared" si="15"/>
        <v>6.2458965053326168</v>
      </c>
      <c r="AA337">
        <v>325</v>
      </c>
      <c r="AB337">
        <f t="shared" si="16"/>
        <v>5.6723200689815707</v>
      </c>
      <c r="AC337">
        <f t="shared" si="17"/>
        <v>-0.57357643635104649</v>
      </c>
    </row>
    <row r="338" spans="26:29">
      <c r="Z338">
        <f t="shared" si="15"/>
        <v>6.2489662649722613</v>
      </c>
      <c r="AA338">
        <v>326</v>
      </c>
      <c r="AB338">
        <f t="shared" si="16"/>
        <v>5.6897733615015138</v>
      </c>
      <c r="AC338">
        <f t="shared" si="17"/>
        <v>-0.55919290347074735</v>
      </c>
    </row>
    <row r="339" spans="26:29">
      <c r="Z339">
        <f t="shared" si="15"/>
        <v>6.2518656890364852</v>
      </c>
      <c r="AA339">
        <v>327</v>
      </c>
      <c r="AB339">
        <f t="shared" si="16"/>
        <v>5.7072266540214578</v>
      </c>
      <c r="AC339">
        <f t="shared" si="17"/>
        <v>-0.54463903501502697</v>
      </c>
    </row>
    <row r="340" spans="26:29">
      <c r="Z340">
        <f t="shared" si="15"/>
        <v>6.2545992107746056</v>
      </c>
      <c r="AA340">
        <v>328</v>
      </c>
      <c r="AB340">
        <f t="shared" si="16"/>
        <v>5.7246799465414</v>
      </c>
      <c r="AC340">
        <f t="shared" si="17"/>
        <v>-0.52991926423320579</v>
      </c>
    </row>
    <row r="341" spans="26:29">
      <c r="Z341">
        <f t="shared" si="15"/>
        <v>6.2571713139713987</v>
      </c>
      <c r="AA341">
        <v>329</v>
      </c>
      <c r="AB341">
        <f t="shared" si="16"/>
        <v>5.742133239061344</v>
      </c>
      <c r="AC341">
        <f t="shared" si="17"/>
        <v>-0.51503807491005449</v>
      </c>
    </row>
    <row r="342" spans="26:29">
      <c r="Z342">
        <f t="shared" si="15"/>
        <v>6.259586531581288</v>
      </c>
      <c r="AA342">
        <v>330</v>
      </c>
      <c r="AB342">
        <f t="shared" si="16"/>
        <v>5.7595865315812871</v>
      </c>
      <c r="AC342">
        <f t="shared" si="17"/>
        <v>-0.50000000000000044</v>
      </c>
    </row>
    <row r="343" spans="26:29">
      <c r="Z343">
        <f t="shared" si="15"/>
        <v>6.2618494443475683</v>
      </c>
      <c r="AA343">
        <v>331</v>
      </c>
      <c r="AB343">
        <f t="shared" si="16"/>
        <v>5.7770398241012311</v>
      </c>
      <c r="AC343">
        <f t="shared" si="17"/>
        <v>-0.48480962024633689</v>
      </c>
    </row>
    <row r="344" spans="26:29">
      <c r="Z344">
        <f t="shared" si="15"/>
        <v>6.2639646794070654</v>
      </c>
      <c r="AA344">
        <v>332</v>
      </c>
      <c r="AB344">
        <f t="shared" si="16"/>
        <v>5.7944931166211742</v>
      </c>
      <c r="AC344">
        <f t="shared" si="17"/>
        <v>-0.46947156278589081</v>
      </c>
    </row>
    <row r="345" spans="26:29">
      <c r="Z345">
        <f t="shared" si="15"/>
        <v>6.265936908880664</v>
      </c>
      <c r="AA345">
        <v>333</v>
      </c>
      <c r="AB345">
        <f t="shared" si="16"/>
        <v>5.8119464091411173</v>
      </c>
      <c r="AC345">
        <f t="shared" si="17"/>
        <v>-0.45399049973954697</v>
      </c>
    </row>
    <row r="346" spans="26:29">
      <c r="Z346">
        <f t="shared" si="15"/>
        <v>6.2677708484501382</v>
      </c>
      <c r="AA346">
        <v>334</v>
      </c>
      <c r="AB346">
        <f t="shared" si="16"/>
        <v>5.8293997016610613</v>
      </c>
      <c r="AC346">
        <f t="shared" si="17"/>
        <v>-0.43837114678907702</v>
      </c>
    </row>
    <row r="347" spans="26:29">
      <c r="Z347">
        <f t="shared" si="15"/>
        <v>6.2694712559217036</v>
      </c>
      <c r="AA347">
        <v>335</v>
      </c>
      <c r="AB347">
        <f t="shared" si="16"/>
        <v>5.8468529941810035</v>
      </c>
      <c r="AC347">
        <f t="shared" si="17"/>
        <v>-0.4226182617407</v>
      </c>
    </row>
    <row r="348" spans="26:29">
      <c r="Z348">
        <f t="shared" si="15"/>
        <v>6.2710429297767476</v>
      </c>
      <c r="AA348">
        <v>336</v>
      </c>
      <c r="AB348">
        <f t="shared" si="16"/>
        <v>5.8643062867009474</v>
      </c>
      <c r="AC348">
        <f t="shared" si="17"/>
        <v>-0.40673664307580015</v>
      </c>
    </row>
    <row r="349" spans="26:29">
      <c r="Z349">
        <f t="shared" si="15"/>
        <v>6.2724907077101646</v>
      </c>
      <c r="AA349">
        <v>337</v>
      </c>
      <c r="AB349">
        <f t="shared" si="16"/>
        <v>5.8817595792208897</v>
      </c>
      <c r="AC349">
        <f t="shared" si="17"/>
        <v>-0.39073112848927471</v>
      </c>
    </row>
    <row r="350" spans="26:29">
      <c r="Z350">
        <f t="shared" si="15"/>
        <v>6.2738194651567456</v>
      </c>
      <c r="AA350">
        <v>338</v>
      </c>
      <c r="AB350">
        <f t="shared" si="16"/>
        <v>5.8992128717408336</v>
      </c>
      <c r="AC350">
        <f t="shared" si="17"/>
        <v>-0.37460659341591235</v>
      </c>
    </row>
    <row r="351" spans="26:29">
      <c r="Z351">
        <f t="shared" si="15"/>
        <v>6.2750341138060772</v>
      </c>
      <c r="AA351">
        <v>339</v>
      </c>
      <c r="AB351">
        <f t="shared" si="16"/>
        <v>5.9166661642607767</v>
      </c>
      <c r="AC351">
        <f t="shared" si="17"/>
        <v>-0.35836794954530077</v>
      </c>
    </row>
    <row r="352" spans="26:29">
      <c r="Z352">
        <f t="shared" si="15"/>
        <v>6.2761396001063892</v>
      </c>
      <c r="AA352">
        <v>340</v>
      </c>
      <c r="AB352">
        <f t="shared" si="16"/>
        <v>5.9341194567807207</v>
      </c>
      <c r="AC352">
        <f t="shared" si="17"/>
        <v>-0.3420201433256686</v>
      </c>
    </row>
    <row r="353" spans="26:29">
      <c r="Z353">
        <f t="shared" si="15"/>
        <v>6.2771409037578207</v>
      </c>
      <c r="AA353">
        <v>341</v>
      </c>
      <c r="AB353">
        <f t="shared" si="16"/>
        <v>5.9515727493006629</v>
      </c>
      <c r="AC353">
        <f t="shared" si="17"/>
        <v>-0.32556815445715753</v>
      </c>
    </row>
    <row r="354" spans="26:29">
      <c r="Z354">
        <f t="shared" si="15"/>
        <v>6.2780430361955544</v>
      </c>
      <c r="AA354">
        <v>342</v>
      </c>
      <c r="AB354">
        <f t="shared" si="16"/>
        <v>5.9690260418206069</v>
      </c>
      <c r="AC354">
        <f t="shared" si="17"/>
        <v>-0.30901699437494762</v>
      </c>
    </row>
    <row r="355" spans="26:29">
      <c r="Z355">
        <f t="shared" si="15"/>
        <v>6.2788510390632872</v>
      </c>
      <c r="AA355">
        <v>343</v>
      </c>
      <c r="AB355">
        <f t="shared" si="16"/>
        <v>5.9864793343405509</v>
      </c>
      <c r="AC355">
        <f t="shared" si="17"/>
        <v>-0.29237170472273627</v>
      </c>
    </row>
    <row r="356" spans="26:29">
      <c r="Z356">
        <f t="shared" si="15"/>
        <v>6.2795699826774927</v>
      </c>
      <c r="AA356">
        <v>344</v>
      </c>
      <c r="AB356">
        <f t="shared" si="16"/>
        <v>6.0039326268604931</v>
      </c>
      <c r="AC356">
        <f t="shared" si="17"/>
        <v>-0.27563735581699977</v>
      </c>
    </row>
    <row r="357" spans="26:29">
      <c r="Z357">
        <f t="shared" si="15"/>
        <v>6.2802049644829578</v>
      </c>
      <c r="AA357">
        <v>345</v>
      </c>
      <c r="AB357">
        <f t="shared" si="16"/>
        <v>6.0213859193804371</v>
      </c>
      <c r="AC357">
        <f t="shared" si="17"/>
        <v>-0.25881904510252068</v>
      </c>
    </row>
    <row r="358" spans="26:29">
      <c r="Z358">
        <f t="shared" si="15"/>
        <v>6.280761107500048</v>
      </c>
      <c r="AA358">
        <v>346</v>
      </c>
      <c r="AB358">
        <f t="shared" si="16"/>
        <v>6.0388392119003802</v>
      </c>
      <c r="AC358">
        <f t="shared" si="17"/>
        <v>-0.24192189559966787</v>
      </c>
    </row>
    <row r="359" spans="26:29">
      <c r="Z359">
        <f t="shared" si="15"/>
        <v>6.2812435587641886</v>
      </c>
      <c r="AA359">
        <v>347</v>
      </c>
      <c r="AB359">
        <f t="shared" si="16"/>
        <v>6.0562925044203233</v>
      </c>
      <c r="AC359">
        <f t="shared" si="17"/>
        <v>-0.22495105434386534</v>
      </c>
    </row>
    <row r="360" spans="26:29">
      <c r="Z360">
        <f t="shared" si="15"/>
        <v>6.281657487758026</v>
      </c>
      <c r="AA360">
        <v>348</v>
      </c>
      <c r="AB360">
        <f t="shared" si="16"/>
        <v>6.0737457969402664</v>
      </c>
      <c r="AC360">
        <f t="shared" si="17"/>
        <v>-0.20791169081775987</v>
      </c>
    </row>
    <row r="361" spans="26:29">
      <c r="Z361">
        <f t="shared" si="15"/>
        <v>6.2820080848367548</v>
      </c>
      <c r="AA361">
        <v>349</v>
      </c>
      <c r="AB361">
        <f t="shared" si="16"/>
        <v>6.0911990894602104</v>
      </c>
      <c r="AC361">
        <f t="shared" si="17"/>
        <v>-0.19080899537654467</v>
      </c>
    </row>
    <row r="362" spans="26:29">
      <c r="Z362">
        <f t="shared" si="15"/>
        <v>6.2823005596470836</v>
      </c>
      <c r="AA362">
        <v>350</v>
      </c>
      <c r="AB362">
        <f t="shared" si="16"/>
        <v>6.1086523819801526</v>
      </c>
      <c r="AC362">
        <f t="shared" si="17"/>
        <v>-0.17364817766693127</v>
      </c>
    </row>
    <row r="363" spans="26:29">
      <c r="Z363">
        <f t="shared" si="15"/>
        <v>6.2825401395403278</v>
      </c>
      <c r="AA363">
        <v>351</v>
      </c>
      <c r="AB363">
        <f t="shared" si="16"/>
        <v>6.1261056745000966</v>
      </c>
      <c r="AC363">
        <f t="shared" si="17"/>
        <v>-0.15643446504023112</v>
      </c>
    </row>
    <row r="364" spans="26:29">
      <c r="Z364">
        <f t="shared" si="15"/>
        <v>6.2827320679801053</v>
      </c>
      <c r="AA364">
        <v>352</v>
      </c>
      <c r="AB364">
        <f t="shared" si="16"/>
        <v>6.1435589670200397</v>
      </c>
      <c r="AC364">
        <f t="shared" si="17"/>
        <v>-0.13917310096006588</v>
      </c>
    </row>
    <row r="365" spans="26:29">
      <c r="Z365">
        <f t="shared" si="15"/>
        <v>6.2828816029451309</v>
      </c>
      <c r="AA365">
        <v>353</v>
      </c>
      <c r="AB365">
        <f t="shared" si="16"/>
        <v>6.1610122595399828</v>
      </c>
      <c r="AC365">
        <f t="shared" si="17"/>
        <v>-0.12186934340514811</v>
      </c>
    </row>
    <row r="366" spans="26:29">
      <c r="Z366">
        <f t="shared" si="15"/>
        <v>6.2829940153275805</v>
      </c>
      <c r="AA366">
        <v>354</v>
      </c>
      <c r="AB366">
        <f t="shared" si="16"/>
        <v>6.1784655520599268</v>
      </c>
      <c r="AC366">
        <f t="shared" si="17"/>
        <v>-0.10452846326765342</v>
      </c>
    </row>
    <row r="367" spans="26:29">
      <c r="Z367">
        <f t="shared" si="15"/>
        <v>6.283074587327528</v>
      </c>
      <c r="AA367">
        <v>355</v>
      </c>
      <c r="AB367">
        <f t="shared" si="16"/>
        <v>6.1959188445798699</v>
      </c>
      <c r="AC367">
        <f t="shared" si="17"/>
        <v>-8.7155742747658319E-2</v>
      </c>
    </row>
    <row r="368" spans="26:29">
      <c r="Z368">
        <f t="shared" si="15"/>
        <v>6.2831286108439386</v>
      </c>
      <c r="AA368">
        <v>356</v>
      </c>
      <c r="AB368">
        <f t="shared" si="16"/>
        <v>6.2133721370998138</v>
      </c>
      <c r="AC368">
        <f t="shared" si="17"/>
        <v>-6.9756473744124761E-2</v>
      </c>
    </row>
    <row r="369" spans="26:29">
      <c r="Z369">
        <f t="shared" si="15"/>
        <v>6.2831613858627007</v>
      </c>
      <c r="AA369">
        <v>357</v>
      </c>
      <c r="AB369">
        <f t="shared" si="16"/>
        <v>6.2308254296197561</v>
      </c>
      <c r="AC369">
        <f t="shared" si="17"/>
        <v>-5.2335956242944369E-2</v>
      </c>
    </row>
    <row r="370" spans="26:29">
      <c r="Z370">
        <f t="shared" si="15"/>
        <v>6.2831782188422007</v>
      </c>
      <c r="AA370">
        <v>358</v>
      </c>
      <c r="AB370">
        <f t="shared" si="16"/>
        <v>6.2482787221397</v>
      </c>
      <c r="AC370">
        <f t="shared" si="17"/>
        <v>-3.4899496702500823E-2</v>
      </c>
    </row>
    <row r="371" spans="26:29">
      <c r="Z371">
        <f t="shared" si="15"/>
        <v>6.2831844210969265</v>
      </c>
      <c r="AA371">
        <v>359</v>
      </c>
      <c r="AB371">
        <f t="shared" si="16"/>
        <v>6.2657320146596422</v>
      </c>
      <c r="AC371">
        <f t="shared" si="17"/>
        <v>-1.7452406437284448E-2</v>
      </c>
    </row>
    <row r="372" spans="26:29">
      <c r="Z372">
        <f t="shared" si="15"/>
        <v>6.2831853071795862</v>
      </c>
      <c r="AA372">
        <v>360</v>
      </c>
      <c r="AB372">
        <f t="shared" si="16"/>
        <v>6.2831853071795862</v>
      </c>
      <c r="AC372">
        <f t="shared" si="17"/>
        <v>-2.45029690981724E-16</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504B2-22B7-4F3C-A095-29D6AB21E66F}">
  <dimension ref="A2:AC67"/>
  <sheetViews>
    <sheetView topLeftCell="A34"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 min="17" max="17" width="19.140625" bestFit="1" customWidth="1"/>
    <col min="18" max="18" width="12.85546875" bestFit="1" customWidth="1"/>
    <col min="19" max="19" width="11.85546875" bestFit="1" customWidth="1"/>
    <col min="26" max="26" width="14.5703125" bestFit="1" customWidth="1"/>
  </cols>
  <sheetData>
    <row r="2" spans="1:29">
      <c r="Z2" s="80"/>
    </row>
    <row r="3" spans="1:29">
      <c r="A3" s="5" t="s">
        <v>17</v>
      </c>
      <c r="B3" s="5" t="s">
        <v>18</v>
      </c>
      <c r="C3" s="124">
        <f>'Riser Inputs and Outputs'!D19/12</f>
        <v>2</v>
      </c>
      <c r="D3" s="5" t="s">
        <v>5</v>
      </c>
      <c r="Q3" s="84"/>
    </row>
    <row r="4" spans="1:29">
      <c r="A4" s="5" t="s">
        <v>20</v>
      </c>
      <c r="B4" s="5" t="s">
        <v>21</v>
      </c>
      <c r="C4" s="5">
        <f>C3/2</f>
        <v>1</v>
      </c>
      <c r="D4" s="5" t="s">
        <v>5</v>
      </c>
    </row>
    <row r="5" spans="1:29">
      <c r="A5" s="5" t="s">
        <v>22</v>
      </c>
      <c r="B5" s="5" t="s">
        <v>23</v>
      </c>
      <c r="C5" s="263">
        <f>IF('Riser Inputs and Outputs'!F7&lt;'Riser Inputs and Outputs'!F20,0,'Riser Inputs and Outputs'!F7-'Riser Inputs and Outputs'!F20)</f>
        <v>0</v>
      </c>
      <c r="D5" s="5" t="s">
        <v>5</v>
      </c>
      <c r="R5" s="44"/>
      <c r="S5" s="11"/>
    </row>
    <row r="6" spans="1:29">
      <c r="A6" s="5" t="s">
        <v>135</v>
      </c>
      <c r="B6" s="5"/>
      <c r="C6" s="5">
        <f>PI()*C3^2/4</f>
        <v>3.1415926535897931</v>
      </c>
      <c r="D6" s="5" t="s">
        <v>32</v>
      </c>
      <c r="R6" s="44"/>
      <c r="S6" s="9"/>
    </row>
    <row r="7" spans="1:29">
      <c r="A7" s="5" t="s">
        <v>25</v>
      </c>
      <c r="B7" s="5" t="s">
        <v>26</v>
      </c>
      <c r="C7" s="5">
        <f>IF(C5&lt;C4,C5,2*C4-C5)</f>
        <v>0</v>
      </c>
      <c r="D7" s="5" t="s">
        <v>5</v>
      </c>
    </row>
    <row r="8" spans="1:29">
      <c r="A8" s="5" t="s">
        <v>27</v>
      </c>
      <c r="B8" s="6" t="s">
        <v>28</v>
      </c>
      <c r="C8" s="5">
        <f>2*ACOS((C4-C7)/C4)</f>
        <v>0</v>
      </c>
      <c r="D8" s="5" t="s">
        <v>29</v>
      </c>
      <c r="R8" s="44"/>
      <c r="S8" s="9"/>
    </row>
    <row r="9" spans="1:29">
      <c r="A9" s="5"/>
      <c r="B9" s="5"/>
      <c r="C9" s="5">
        <f>C8*180/PI()</f>
        <v>0</v>
      </c>
      <c r="D9" s="5" t="s">
        <v>9</v>
      </c>
      <c r="S9" s="9"/>
    </row>
    <row r="10" spans="1:29">
      <c r="A10" s="5" t="s">
        <v>30</v>
      </c>
      <c r="B10" s="5" t="s">
        <v>31</v>
      </c>
      <c r="C10" s="5">
        <f>C4^2*(C8-SIN(C8))/2</f>
        <v>0</v>
      </c>
      <c r="D10" s="5" t="s">
        <v>32</v>
      </c>
    </row>
    <row r="11" spans="1:29">
      <c r="A11" s="5" t="s">
        <v>35</v>
      </c>
      <c r="B11" s="5" t="s">
        <v>36</v>
      </c>
      <c r="C11" s="5">
        <f>C4*C8</f>
        <v>0</v>
      </c>
      <c r="D11" s="5" t="s">
        <v>37</v>
      </c>
      <c r="Z11" s="44"/>
      <c r="AA11" s="44"/>
      <c r="AB11" s="44"/>
      <c r="AC11" s="44"/>
    </row>
    <row r="12" spans="1:29">
      <c r="A12" s="5" t="s">
        <v>38</v>
      </c>
      <c r="B12" s="5" t="s">
        <v>33</v>
      </c>
      <c r="C12" s="5">
        <f>IF(C5&gt;C3,C6,IF(C5&lt;C4,C10,PI()*C4^2-C10))</f>
        <v>0</v>
      </c>
      <c r="D12" s="5" t="s">
        <v>32</v>
      </c>
    </row>
    <row r="13" spans="1:29">
      <c r="A13" s="5" t="s">
        <v>39</v>
      </c>
      <c r="B13" s="5" t="s">
        <v>40</v>
      </c>
      <c r="C13" s="5">
        <f>IF(C5&lt;C4,C11,2*PI()*C4-C11)</f>
        <v>0</v>
      </c>
      <c r="D13" s="5" t="s">
        <v>37</v>
      </c>
      <c r="R13" s="44"/>
    </row>
    <row r="14" spans="1:29" ht="18">
      <c r="A14" s="5" t="s">
        <v>42</v>
      </c>
      <c r="B14" s="5" t="s">
        <v>43</v>
      </c>
      <c r="C14" s="5">
        <f>IF(C5=0,0,C12/C13)</f>
        <v>0</v>
      </c>
      <c r="D14" s="5" t="s">
        <v>37</v>
      </c>
      <c r="R14" s="44"/>
    </row>
    <row r="15" spans="1:29">
      <c r="R15" s="44"/>
      <c r="S15" s="82"/>
    </row>
    <row r="16" spans="1:29">
      <c r="A16" s="10"/>
      <c r="B16" s="3"/>
      <c r="C16" s="3"/>
      <c r="D16" s="3"/>
      <c r="R16" s="44"/>
    </row>
    <row r="17" spans="1:19">
      <c r="A17" s="3"/>
      <c r="B17" s="3"/>
      <c r="C17" s="3"/>
      <c r="D17" s="3"/>
      <c r="E17" s="42"/>
    </row>
    <row r="18" spans="1:19">
      <c r="A18" s="3"/>
      <c r="B18" s="3"/>
      <c r="C18" s="3"/>
      <c r="D18" s="3"/>
    </row>
    <row r="19" spans="1:19">
      <c r="A19" s="3"/>
      <c r="B19" s="3"/>
      <c r="C19" s="3"/>
      <c r="D19" s="3"/>
    </row>
    <row r="20" spans="1:19">
      <c r="A20" s="3"/>
      <c r="B20" s="3"/>
      <c r="C20" s="3"/>
      <c r="D20" s="3"/>
    </row>
    <row r="21" spans="1:19">
      <c r="A21" s="3"/>
      <c r="B21" s="3"/>
      <c r="C21" s="3"/>
      <c r="D21" s="3"/>
      <c r="S21" s="83"/>
    </row>
    <row r="23" spans="1:19">
      <c r="A23" s="5"/>
      <c r="B23" s="5"/>
      <c r="C23" s="43"/>
      <c r="D23" s="5"/>
    </row>
    <row r="24" spans="1:19">
      <c r="A24" s="5"/>
      <c r="B24" s="5"/>
      <c r="C24" s="8"/>
      <c r="D24" s="5"/>
    </row>
    <row r="25" spans="1:19">
      <c r="A25" s="5"/>
      <c r="B25" s="5"/>
      <c r="C25" s="5"/>
      <c r="D25" s="5"/>
    </row>
    <row r="26" spans="1:19">
      <c r="A26" s="5"/>
      <c r="B26" s="5"/>
      <c r="C26" s="5"/>
      <c r="D26" s="5"/>
    </row>
    <row r="27" spans="1:19">
      <c r="A27" s="5"/>
      <c r="B27" s="5"/>
      <c r="C27" s="5"/>
      <c r="D27" s="5"/>
    </row>
    <row r="28" spans="1:19">
      <c r="A28" s="5"/>
      <c r="B28" s="5"/>
      <c r="C28" s="5"/>
      <c r="D28" s="5"/>
    </row>
    <row r="29" spans="1:19">
      <c r="A29" s="5"/>
      <c r="B29" s="5"/>
      <c r="C29" s="5"/>
      <c r="D29" s="5"/>
      <c r="K29" s="7" t="s">
        <v>44</v>
      </c>
      <c r="S29" s="83"/>
    </row>
    <row r="30" spans="1:19">
      <c r="A30" s="5"/>
      <c r="B30" s="5"/>
      <c r="C30" s="5"/>
      <c r="D30" s="5"/>
    </row>
    <row r="31" spans="1:19">
      <c r="A31" s="5"/>
      <c r="B31" s="5"/>
      <c r="C31" s="5"/>
      <c r="D31" s="5"/>
      <c r="K31" t="s">
        <v>46</v>
      </c>
      <c r="L31">
        <v>72</v>
      </c>
      <c r="M31" t="s">
        <v>4</v>
      </c>
      <c r="S31" s="81"/>
    </row>
    <row r="32" spans="1:19">
      <c r="A32" s="5"/>
      <c r="B32" s="5"/>
      <c r="C32" s="5"/>
      <c r="D32" s="5"/>
      <c r="K32" t="s">
        <v>47</v>
      </c>
      <c r="L32">
        <v>6</v>
      </c>
      <c r="M32" t="s">
        <v>4</v>
      </c>
    </row>
    <row r="33" spans="1:13">
      <c r="A33" s="5"/>
      <c r="B33" s="5"/>
      <c r="C33" s="5"/>
      <c r="D33" s="5"/>
      <c r="K33" t="s">
        <v>48</v>
      </c>
      <c r="L33">
        <f>(L31^2-(L32/2)^2)^0.5</f>
        <v>71.937472849690792</v>
      </c>
      <c r="M33" t="s">
        <v>4</v>
      </c>
    </row>
    <row r="34" spans="1:13">
      <c r="A34" s="5"/>
      <c r="B34" s="5"/>
      <c r="C34" s="5"/>
      <c r="D34" s="5"/>
      <c r="K34" t="s">
        <v>47</v>
      </c>
      <c r="L34">
        <f>180-2*ASIN(L33/L31)*180/PI()</f>
        <v>4.7760309265376861</v>
      </c>
      <c r="M34" t="s">
        <v>9</v>
      </c>
    </row>
    <row r="35" spans="1:13">
      <c r="A35" s="5"/>
      <c r="B35" s="5"/>
      <c r="C35" s="5"/>
      <c r="D35" s="5"/>
    </row>
    <row r="36" spans="1:13">
      <c r="A36" t="s">
        <v>98</v>
      </c>
      <c r="B36" t="s">
        <v>80</v>
      </c>
      <c r="C36">
        <f>'Riser Inputs and Outputs'!P5</f>
        <v>32.200000000000003</v>
      </c>
      <c r="D36" t="s">
        <v>81</v>
      </c>
    </row>
    <row r="39" spans="1:13">
      <c r="A39" s="17" t="s">
        <v>93</v>
      </c>
      <c r="B39" s="13"/>
      <c r="C39" s="13"/>
      <c r="D39" s="13"/>
      <c r="E39" s="16"/>
      <c r="F39" s="16"/>
      <c r="G39" s="16"/>
      <c r="H39" s="16"/>
    </row>
    <row r="40" spans="1:13">
      <c r="A40" s="13"/>
      <c r="B40" s="15"/>
      <c r="C40" s="13"/>
      <c r="D40" s="13"/>
      <c r="E40" s="16"/>
      <c r="F40" s="16"/>
      <c r="G40" s="16"/>
      <c r="H40" s="16"/>
    </row>
    <row r="41" spans="1:13">
      <c r="A41" s="13" t="s">
        <v>124</v>
      </c>
      <c r="B41" s="14">
        <f>C5</f>
        <v>0</v>
      </c>
      <c r="C41" s="13" t="s">
        <v>37</v>
      </c>
      <c r="D41" s="13"/>
      <c r="E41" s="16"/>
      <c r="F41" s="16"/>
      <c r="G41" s="16"/>
      <c r="H41" s="16"/>
    </row>
    <row r="42" spans="1:13">
      <c r="A42" s="13"/>
      <c r="B42" s="13"/>
      <c r="C42" s="13"/>
      <c r="D42" s="13"/>
      <c r="E42" s="16"/>
      <c r="F42" s="16"/>
      <c r="G42" s="16"/>
      <c r="H42" s="16"/>
    </row>
    <row r="43" spans="1:13">
      <c r="A43" s="13"/>
      <c r="B43" s="13"/>
      <c r="C43" s="13"/>
      <c r="D43" s="13"/>
      <c r="E43" s="16"/>
      <c r="F43" s="16"/>
      <c r="G43" s="16"/>
      <c r="H43" s="16"/>
    </row>
    <row r="44" spans="1:13">
      <c r="A44" s="13" t="s">
        <v>97</v>
      </c>
      <c r="B44" s="15">
        <f>IF(B41&lt;=C3,L44*C12*(2*C36*B41)^0.5)</f>
        <v>0</v>
      </c>
      <c r="C44" s="13" t="s">
        <v>168</v>
      </c>
      <c r="D44" s="13">
        <f>L44*C20*(2*C36*C5)^0.5</f>
        <v>0</v>
      </c>
      <c r="E44" s="16" t="s">
        <v>123</v>
      </c>
      <c r="F44" s="16"/>
      <c r="G44" s="16"/>
      <c r="H44" s="16"/>
      <c r="I44" s="16" t="s">
        <v>100</v>
      </c>
      <c r="J44" s="16"/>
      <c r="K44" s="16"/>
      <c r="L44" s="16">
        <f>'Riser Inputs and Outputs'!B21</f>
        <v>0.7</v>
      </c>
    </row>
    <row r="45" spans="1:13">
      <c r="A45" s="13"/>
      <c r="B45" s="13" t="b">
        <f>IF(B41&gt;C3,L44*C6*(2*C36*B41)^0.5)</f>
        <v>0</v>
      </c>
      <c r="C45" s="13"/>
      <c r="D45" s="13"/>
      <c r="E45" s="16"/>
      <c r="F45" s="16"/>
      <c r="G45" s="16"/>
      <c r="H45" s="16"/>
    </row>
    <row r="46" spans="1:13">
      <c r="A46" s="13" t="s">
        <v>53</v>
      </c>
      <c r="B46" s="13">
        <f>IF(B41&lt;=C3,B44,B45)</f>
        <v>0</v>
      </c>
      <c r="C46" s="13" t="s">
        <v>99</v>
      </c>
      <c r="D46" s="13"/>
      <c r="E46" s="16"/>
      <c r="F46" s="16"/>
      <c r="G46" s="16"/>
      <c r="H46" s="16"/>
    </row>
    <row r="47" spans="1:13">
      <c r="A47" s="13" t="s">
        <v>57</v>
      </c>
      <c r="B47" s="13" t="e">
        <f>IF(B41&lt;C3,B46/C12,B46/C6)</f>
        <v>#DIV/0!</v>
      </c>
      <c r="C47" s="13" t="s">
        <v>59</v>
      </c>
      <c r="D47" s="13"/>
      <c r="E47" s="16"/>
      <c r="F47" s="16"/>
      <c r="G47" s="16"/>
      <c r="H47" s="16"/>
    </row>
    <row r="49" spans="1:12">
      <c r="A49" s="122" t="s">
        <v>119</v>
      </c>
      <c r="B49">
        <f>IF(B41&lt;C4,C12,C6)</f>
        <v>0</v>
      </c>
      <c r="C49" s="122" t="s">
        <v>32</v>
      </c>
    </row>
    <row r="50" spans="1:12">
      <c r="H50" s="44"/>
      <c r="I50" s="44"/>
      <c r="J50" s="44"/>
      <c r="K50" s="44"/>
    </row>
    <row r="51" spans="1:12">
      <c r="A51" s="44"/>
      <c r="E51" s="11"/>
      <c r="F51" s="11"/>
      <c r="G51" s="46"/>
      <c r="I51" s="45"/>
      <c r="J51" s="11"/>
      <c r="K51" s="11"/>
      <c r="L51" s="45"/>
    </row>
    <row r="52" spans="1:12">
      <c r="A52" s="44"/>
      <c r="E52" s="11"/>
      <c r="F52" s="11"/>
      <c r="G52" s="46"/>
      <c r="I52" s="45"/>
      <c r="J52" s="11"/>
      <c r="K52" s="11"/>
      <c r="L52" s="45"/>
    </row>
    <row r="53" spans="1:12">
      <c r="A53" s="44"/>
      <c r="E53" s="11"/>
      <c r="F53" s="11"/>
      <c r="G53" s="46"/>
      <c r="I53" s="45"/>
      <c r="J53" s="11"/>
      <c r="K53" s="11"/>
      <c r="L53" s="45"/>
    </row>
    <row r="54" spans="1:12">
      <c r="A54" s="44"/>
      <c r="E54" s="11"/>
      <c r="F54" s="11"/>
      <c r="G54" s="46"/>
      <c r="I54" s="45"/>
      <c r="J54" s="11"/>
      <c r="K54" s="11"/>
      <c r="L54" s="45"/>
    </row>
    <row r="55" spans="1:12">
      <c r="A55" s="44"/>
      <c r="E55" s="11"/>
      <c r="F55" s="11"/>
      <c r="G55" s="46"/>
      <c r="I55" s="45"/>
      <c r="J55" s="11"/>
      <c r="K55" s="11"/>
      <c r="L55" s="45"/>
    </row>
    <row r="56" spans="1:12">
      <c r="A56" s="44"/>
      <c r="E56" s="11"/>
      <c r="F56" s="11"/>
      <c r="G56" s="46"/>
      <c r="I56" s="45"/>
      <c r="J56" s="11"/>
      <c r="K56" s="11"/>
      <c r="L56" s="45"/>
    </row>
    <row r="57" spans="1:12">
      <c r="A57" s="44"/>
      <c r="E57" s="11"/>
      <c r="F57" s="11"/>
      <c r="G57" s="46"/>
      <c r="I57" s="45"/>
      <c r="J57" s="11"/>
      <c r="K57" s="11"/>
      <c r="L57" s="45"/>
    </row>
    <row r="58" spans="1:12">
      <c r="A58" s="44"/>
      <c r="E58" s="11"/>
      <c r="F58" s="11"/>
      <c r="G58" s="46"/>
      <c r="I58" s="45"/>
      <c r="J58" s="11"/>
      <c r="K58" s="11"/>
      <c r="L58" s="45"/>
    </row>
    <row r="59" spans="1:12">
      <c r="A59" s="44"/>
      <c r="E59" s="11"/>
      <c r="F59" s="11"/>
      <c r="G59" s="46"/>
      <c r="I59" s="45"/>
      <c r="J59" s="11"/>
      <c r="K59" s="11"/>
      <c r="L59" s="45"/>
    </row>
    <row r="60" spans="1:12">
      <c r="A60" s="44"/>
      <c r="E60" s="11"/>
      <c r="F60" s="11"/>
      <c r="G60" s="46"/>
      <c r="I60" s="45"/>
      <c r="J60" s="11"/>
      <c r="K60" s="11"/>
      <c r="L60" s="45"/>
    </row>
    <row r="61" spans="1:12">
      <c r="A61" s="44"/>
      <c r="E61" s="11"/>
      <c r="F61" s="11"/>
      <c r="G61" s="46"/>
      <c r="I61" s="45"/>
      <c r="J61" s="11"/>
      <c r="K61" s="11"/>
      <c r="L61" s="45"/>
    </row>
    <row r="62" spans="1:12">
      <c r="A62" s="44"/>
      <c r="E62" s="11"/>
      <c r="F62" s="11"/>
      <c r="G62" s="46"/>
      <c r="I62" s="45"/>
      <c r="J62" s="11"/>
      <c r="K62" s="11"/>
      <c r="L62" s="45"/>
    </row>
    <row r="63" spans="1:12">
      <c r="A63" s="44"/>
      <c r="E63" s="11"/>
      <c r="F63" s="11"/>
      <c r="G63" s="46"/>
    </row>
    <row r="64" spans="1:12">
      <c r="A64" s="44"/>
      <c r="E64" s="11"/>
      <c r="F64" s="11"/>
      <c r="G64" s="46"/>
    </row>
    <row r="65" spans="1:7">
      <c r="A65" s="44"/>
      <c r="E65" s="11"/>
      <c r="F65" s="11"/>
      <c r="G65" s="46"/>
    </row>
    <row r="66" spans="1:7">
      <c r="A66" s="44"/>
      <c r="E66" s="11"/>
      <c r="F66" s="11"/>
      <c r="G66" s="46"/>
    </row>
    <row r="67" spans="1:7">
      <c r="A67" s="44"/>
      <c r="E67" s="11"/>
      <c r="F67" s="11"/>
      <c r="G67" s="46"/>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D24E1-E9B5-454D-BD61-2AC3155FC477}">
  <dimension ref="A3:M70"/>
  <sheetViews>
    <sheetView workbookViewId="0">
      <selection activeCell="C17" sqref="C17"/>
    </sheetView>
  </sheetViews>
  <sheetFormatPr defaultRowHeight="15"/>
  <cols>
    <col min="1" max="1" width="20.5703125" bestFit="1" customWidth="1"/>
    <col min="2" max="2" width="13.5703125" bestFit="1" customWidth="1"/>
    <col min="3" max="3" width="16.42578125" bestFit="1" customWidth="1"/>
    <col min="4" max="4" width="12" bestFit="1" customWidth="1"/>
    <col min="9" max="9" width="12.85546875" customWidth="1"/>
  </cols>
  <sheetData>
    <row r="3" spans="1:4">
      <c r="A3" s="5" t="s">
        <v>17</v>
      </c>
      <c r="B3" s="5" t="s">
        <v>18</v>
      </c>
      <c r="C3" s="5">
        <f>'Riser Inputs and Outputs'!D4/12</f>
        <v>2</v>
      </c>
      <c r="D3" s="5" t="s">
        <v>5</v>
      </c>
    </row>
    <row r="4" spans="1:4">
      <c r="A4" s="5" t="s">
        <v>20</v>
      </c>
      <c r="B4" s="5" t="s">
        <v>21</v>
      </c>
      <c r="C4" s="5">
        <f>C3/2</f>
        <v>1</v>
      </c>
      <c r="D4" s="5" t="s">
        <v>5</v>
      </c>
    </row>
    <row r="5" spans="1:4">
      <c r="A5" s="5" t="s">
        <v>22</v>
      </c>
      <c r="B5" s="5" t="s">
        <v>131</v>
      </c>
      <c r="C5" s="5">
        <v>1</v>
      </c>
      <c r="D5" s="5" t="s">
        <v>4</v>
      </c>
    </row>
    <row r="6" spans="1:4">
      <c r="A6" s="5" t="s">
        <v>22</v>
      </c>
      <c r="B6" s="5" t="s">
        <v>23</v>
      </c>
      <c r="C6" s="5">
        <f>C5/12</f>
        <v>8.3333333333333329E-2</v>
      </c>
      <c r="D6" s="5" t="s">
        <v>5</v>
      </c>
    </row>
    <row r="7" spans="1:4">
      <c r="A7" s="5"/>
      <c r="B7" s="5"/>
      <c r="C7" s="5"/>
      <c r="D7" s="5"/>
    </row>
    <row r="8" spans="1:4">
      <c r="A8" s="5" t="s">
        <v>25</v>
      </c>
      <c r="B8" s="5" t="s">
        <v>26</v>
      </c>
      <c r="C8" s="5">
        <f>IF(C6&lt;C4,C6,2*C4-C6)</f>
        <v>8.3333333333333329E-2</v>
      </c>
      <c r="D8" s="5" t="s">
        <v>5</v>
      </c>
    </row>
    <row r="9" spans="1:4">
      <c r="A9" s="5" t="s">
        <v>27</v>
      </c>
      <c r="B9" s="6" t="s">
        <v>28</v>
      </c>
      <c r="C9" s="5">
        <f>2*ACOS((C4-C8)/C4)</f>
        <v>0.82227572464469567</v>
      </c>
      <c r="D9" s="5" t="s">
        <v>29</v>
      </c>
    </row>
    <row r="10" spans="1:4">
      <c r="A10" s="5"/>
      <c r="B10" s="5"/>
      <c r="C10" s="5">
        <f>C9*180/PI()</f>
        <v>47.112928618202481</v>
      </c>
      <c r="D10" s="5" t="s">
        <v>9</v>
      </c>
    </row>
    <row r="11" spans="1:4">
      <c r="A11" s="5" t="s">
        <v>30</v>
      </c>
      <c r="B11" s="5" t="s">
        <v>31</v>
      </c>
      <c r="C11" s="5">
        <f>C4^2*(C9-SIN(C9))/2</f>
        <v>4.4789620958181675E-2</v>
      </c>
      <c r="D11" s="5" t="s">
        <v>32</v>
      </c>
    </row>
    <row r="12" spans="1:4">
      <c r="A12" s="5" t="s">
        <v>35</v>
      </c>
      <c r="B12" s="5" t="s">
        <v>36</v>
      </c>
      <c r="C12" s="5">
        <f>C4*C9</f>
        <v>0.82227572464469567</v>
      </c>
      <c r="D12" s="5" t="s">
        <v>37</v>
      </c>
    </row>
    <row r="13" spans="1:4">
      <c r="A13" s="5" t="s">
        <v>38</v>
      </c>
      <c r="B13" s="5" t="s">
        <v>33</v>
      </c>
      <c r="C13" s="5">
        <f>IF(C6&lt;C4,C11,PI()*C4^2-C11)</f>
        <v>4.4789620958181675E-2</v>
      </c>
      <c r="D13" s="5" t="s">
        <v>32</v>
      </c>
    </row>
    <row r="14" spans="1:4">
      <c r="A14" s="5" t="s">
        <v>39</v>
      </c>
      <c r="B14" s="5" t="s">
        <v>40</v>
      </c>
      <c r="C14" s="5">
        <f>IF(C6&lt;C4,C12,2*PI()*C4-C12)</f>
        <v>0.82227572464469567</v>
      </c>
      <c r="D14" s="5" t="s">
        <v>37</v>
      </c>
    </row>
    <row r="15" spans="1:4" ht="18">
      <c r="A15" s="5" t="s">
        <v>42</v>
      </c>
      <c r="B15" s="5" t="s">
        <v>43</v>
      </c>
      <c r="C15" s="5">
        <f>IF(C6=0,0,C13/C14)</f>
        <v>5.4470318915878509E-2</v>
      </c>
      <c r="D15" s="5" t="s">
        <v>37</v>
      </c>
    </row>
    <row r="18" spans="1:13">
      <c r="A18" s="5" t="s">
        <v>49</v>
      </c>
      <c r="B18" s="5" t="s">
        <v>36</v>
      </c>
      <c r="C18" s="43">
        <f>'Riser Inputs and Outputs'!D8</f>
        <v>0.01</v>
      </c>
      <c r="D18" s="5" t="s">
        <v>50</v>
      </c>
    </row>
    <row r="19" spans="1:13">
      <c r="A19" s="5"/>
      <c r="B19" s="5"/>
      <c r="C19" s="8">
        <f>C18</f>
        <v>0.01</v>
      </c>
      <c r="D19" s="5" t="s">
        <v>51</v>
      </c>
    </row>
    <row r="20" spans="1:13">
      <c r="A20" s="5" t="s">
        <v>52</v>
      </c>
      <c r="B20" s="5" t="s">
        <v>16</v>
      </c>
      <c r="C20" s="5">
        <f>'Riser Inputs and Outputs'!D10</f>
        <v>1.0999999999999999E-2</v>
      </c>
      <c r="D20" s="5"/>
    </row>
    <row r="21" spans="1:13">
      <c r="A21" s="5"/>
      <c r="B21" s="5"/>
      <c r="C21" s="5"/>
      <c r="D21" s="5"/>
    </row>
    <row r="22" spans="1:13">
      <c r="A22" s="5" t="s">
        <v>22</v>
      </c>
      <c r="B22" s="5" t="s">
        <v>23</v>
      </c>
      <c r="C22" s="5">
        <f>C6</f>
        <v>8.3333333333333329E-2</v>
      </c>
      <c r="D22" s="5" t="s">
        <v>5</v>
      </c>
    </row>
    <row r="23" spans="1:13">
      <c r="A23" s="5"/>
      <c r="B23" s="5"/>
      <c r="C23" s="5"/>
      <c r="D23" s="5"/>
      <c r="K23" s="7" t="s">
        <v>44</v>
      </c>
    </row>
    <row r="24" spans="1:13">
      <c r="A24" s="5" t="s">
        <v>53</v>
      </c>
      <c r="B24" s="5" t="s">
        <v>54</v>
      </c>
      <c r="C24" s="5">
        <f>(1.49/C20)*C13*(C15)^(2/3)*(C19^0.5)</f>
        <v>8.7178805822423946E-2</v>
      </c>
      <c r="D24" s="5" t="s">
        <v>55</v>
      </c>
    </row>
    <row r="25" spans="1:13">
      <c r="A25" s="5"/>
      <c r="B25" s="5"/>
      <c r="C25" s="5">
        <f>C24*7.48*60</f>
        <v>39.125848053103866</v>
      </c>
      <c r="D25" s="5" t="s">
        <v>56</v>
      </c>
      <c r="K25" t="s">
        <v>46</v>
      </c>
      <c r="L25">
        <v>72</v>
      </c>
      <c r="M25" t="s">
        <v>4</v>
      </c>
    </row>
    <row r="26" spans="1:13">
      <c r="A26" s="5"/>
      <c r="B26" s="5"/>
      <c r="C26" s="5"/>
      <c r="D26" s="5"/>
      <c r="K26" t="s">
        <v>47</v>
      </c>
      <c r="L26">
        <v>6</v>
      </c>
      <c r="M26" t="s">
        <v>4</v>
      </c>
    </row>
    <row r="27" spans="1:13">
      <c r="A27" s="5" t="s">
        <v>57</v>
      </c>
      <c r="B27" s="5" t="s">
        <v>58</v>
      </c>
      <c r="C27" s="5">
        <f>IF(C24=0,0,C24/C13)</f>
        <v>1.946406420894238</v>
      </c>
      <c r="D27" s="5" t="s">
        <v>59</v>
      </c>
      <c r="K27" t="s">
        <v>48</v>
      </c>
      <c r="L27">
        <f>(L25^2-(L26/2)^2)^0.5</f>
        <v>71.937472849690792</v>
      </c>
      <c r="M27" t="s">
        <v>4</v>
      </c>
    </row>
    <row r="28" spans="1:13">
      <c r="A28" s="5"/>
      <c r="B28" s="5"/>
      <c r="C28" s="5"/>
      <c r="D28" s="5"/>
      <c r="K28" t="s">
        <v>47</v>
      </c>
      <c r="L28">
        <f>180-2*ASIN(L27/L25)*180/PI()</f>
        <v>4.7760309265376861</v>
      </c>
      <c r="M28" t="s">
        <v>9</v>
      </c>
    </row>
    <row r="29" spans="1:13">
      <c r="A29" s="5"/>
      <c r="B29" s="5"/>
      <c r="C29" s="5"/>
      <c r="D29" s="5"/>
    </row>
    <row r="30" spans="1:13">
      <c r="A30" s="5"/>
      <c r="B30" s="5"/>
      <c r="C30" s="5"/>
      <c r="D30" s="5"/>
    </row>
    <row r="31" spans="1:13">
      <c r="A31" t="s">
        <v>98</v>
      </c>
      <c r="B31" t="s">
        <v>80</v>
      </c>
      <c r="C31">
        <f>'Riser Inputs and Outputs'!P5</f>
        <v>32.200000000000003</v>
      </c>
      <c r="D31" t="s">
        <v>81</v>
      </c>
    </row>
    <row r="33" spans="1:11" ht="18.75">
      <c r="A33" s="123" t="s">
        <v>127</v>
      </c>
    </row>
    <row r="34" spans="1:11" ht="45">
      <c r="A34" s="53" t="s">
        <v>128</v>
      </c>
      <c r="B34" s="53" t="s">
        <v>129</v>
      </c>
      <c r="C34" s="53" t="s">
        <v>130</v>
      </c>
      <c r="D34" s="53" t="s">
        <v>126</v>
      </c>
      <c r="E34" s="53" t="str">
        <f>A8</f>
        <v>circular segment height</v>
      </c>
      <c r="F34" s="53" t="str">
        <f>A9</f>
        <v>central angle</v>
      </c>
      <c r="G34" s="53" t="str">
        <f>A11</f>
        <v>circular segment area</v>
      </c>
      <c r="H34" s="53" t="str">
        <f>A12</f>
        <v>arc length</v>
      </c>
      <c r="I34" s="53" t="str">
        <f>A13</f>
        <v>flow area</v>
      </c>
      <c r="J34" s="53" t="str">
        <f>A14</f>
        <v>wetted perimeter</v>
      </c>
      <c r="K34" s="53" t="str">
        <f>A15</f>
        <v>hydraulic radius</v>
      </c>
    </row>
    <row r="35" spans="1:11">
      <c r="A35" s="52">
        <v>1</v>
      </c>
      <c r="B35" s="9">
        <f>C24</f>
        <v>8.7178805822423946E-2</v>
      </c>
      <c r="C35" s="9">
        <f>C27</f>
        <v>1.946406420894238</v>
      </c>
      <c r="D35" s="52">
        <f t="shared" ref="D35" si="0">A35/12</f>
        <v>8.3333333333333329E-2</v>
      </c>
      <c r="E35" s="9">
        <f>C8</f>
        <v>8.3333333333333329E-2</v>
      </c>
      <c r="F35" s="9">
        <f>C10</f>
        <v>47.112928618202481</v>
      </c>
      <c r="G35" s="9">
        <f>C11</f>
        <v>4.4789620958181675E-2</v>
      </c>
      <c r="H35" s="9">
        <f>C12</f>
        <v>0.82227572464469567</v>
      </c>
      <c r="I35" s="9">
        <f>C13</f>
        <v>4.4789620958181675E-2</v>
      </c>
      <c r="J35" s="9">
        <f>C14</f>
        <v>0.82227572464469567</v>
      </c>
      <c r="K35" s="9">
        <f>C15</f>
        <v>5.4470318915878509E-2</v>
      </c>
    </row>
    <row r="36" spans="1:11">
      <c r="A36" s="52">
        <v>3</v>
      </c>
      <c r="B36" s="9">
        <f t="dataTable" ref="B36:K70" dt2D="0" dtr="0" r1="C5"/>
        <v>0.89275605328542229</v>
      </c>
      <c r="C36" s="9">
        <v>3.9388171405302583</v>
      </c>
      <c r="D36" s="52">
        <v>8.3333333333333329E-2</v>
      </c>
      <c r="E36" s="9">
        <v>0.25</v>
      </c>
      <c r="F36" s="9">
        <v>82.819244218541712</v>
      </c>
      <c r="G36" s="9">
        <v>0.22665587698880485</v>
      </c>
      <c r="H36" s="9">
        <v>1.4454684956268311</v>
      </c>
      <c r="I36" s="9">
        <v>0.22665587698880485</v>
      </c>
      <c r="J36" s="9">
        <v>1.4454684956268311</v>
      </c>
      <c r="K36" s="9">
        <v>0.15680443930430663</v>
      </c>
    </row>
    <row r="37" spans="1:11">
      <c r="A37" s="52">
        <v>5</v>
      </c>
      <c r="B37" s="9">
        <v>2.5495479027782846</v>
      </c>
      <c r="C37" s="9">
        <v>5.3768959466465693</v>
      </c>
      <c r="D37" s="52">
        <v>8.3333333333333329E-2</v>
      </c>
      <c r="E37" s="9">
        <v>0.41666666666666669</v>
      </c>
      <c r="F37" s="9">
        <v>108.62933057469591</v>
      </c>
      <c r="G37" s="9">
        <v>0.4741672385102359</v>
      </c>
      <c r="H37" s="9">
        <v>1.8959394827657876</v>
      </c>
      <c r="I37" s="9">
        <v>0.4741672385102359</v>
      </c>
      <c r="J37" s="9">
        <v>1.8959394827657876</v>
      </c>
      <c r="K37" s="9">
        <v>0.25009618862861749</v>
      </c>
    </row>
    <row r="38" spans="1:11">
      <c r="A38" s="52">
        <v>7</v>
      </c>
      <c r="B38" s="9">
        <v>4.9705365514766227</v>
      </c>
      <c r="C38" s="9">
        <v>6.5209072236088828</v>
      </c>
      <c r="D38" s="52">
        <v>8.3333333333333329E-2</v>
      </c>
      <c r="E38" s="9">
        <v>0.58333333333333337</v>
      </c>
      <c r="F38" s="9">
        <v>130.75136329567184</v>
      </c>
      <c r="G38" s="9">
        <v>0.76224616928773992</v>
      </c>
      <c r="H38" s="9">
        <v>2.2820417909807378</v>
      </c>
      <c r="I38" s="9">
        <v>0.76224616928773992</v>
      </c>
      <c r="J38" s="9">
        <v>2.2820417909807378</v>
      </c>
      <c r="K38" s="9">
        <v>0.33401937348402128</v>
      </c>
    </row>
    <row r="39" spans="1:11">
      <c r="A39" s="52">
        <v>9</v>
      </c>
      <c r="B39" s="9">
        <v>8.0203811011595612</v>
      </c>
      <c r="C39" s="9">
        <v>7.4535074780406125</v>
      </c>
      <c r="D39" s="52">
        <v>8.3333333333333329E-2</v>
      </c>
      <c r="E39" s="9">
        <v>0.75</v>
      </c>
      <c r="F39" s="9">
        <v>151.04497562814015</v>
      </c>
      <c r="G39" s="9">
        <v>1.0760546125148545</v>
      </c>
      <c r="H39" s="9">
        <v>2.6362321433056359</v>
      </c>
      <c r="I39" s="9">
        <v>1.0760546125148545</v>
      </c>
      <c r="J39" s="9">
        <v>2.6362321433056359</v>
      </c>
      <c r="K39" s="9">
        <v>0.40817900473877211</v>
      </c>
    </row>
    <row r="40" spans="1:11">
      <c r="A40" s="52">
        <v>11</v>
      </c>
      <c r="B40" s="9">
        <v>11.532935557718137</v>
      </c>
      <c r="C40" s="9">
        <v>8.2124536204980814</v>
      </c>
      <c r="D40" s="52">
        <v>8.3333333333333329E-2</v>
      </c>
      <c r="E40" s="9">
        <v>0.91666666666666663</v>
      </c>
      <c r="F40" s="9">
        <v>170.4396163056017</v>
      </c>
      <c r="G40" s="9">
        <v>1.4043227628016328</v>
      </c>
      <c r="H40" s="9">
        <v>2.9747324803685631</v>
      </c>
      <c r="I40" s="9">
        <v>1.4043227628016328</v>
      </c>
      <c r="J40" s="9">
        <v>2.9747324803685631</v>
      </c>
      <c r="K40" s="9">
        <v>0.47208371578597891</v>
      </c>
    </row>
    <row r="41" spans="1:11">
      <c r="A41" s="52">
        <v>13</v>
      </c>
      <c r="B41" s="9">
        <v>15.316367332468284</v>
      </c>
      <c r="C41" s="9">
        <v>8.8163430527881843</v>
      </c>
      <c r="D41" s="52">
        <v>8.3333333333333329E-2</v>
      </c>
      <c r="E41" s="9">
        <v>0.91666666666666674</v>
      </c>
      <c r="F41" s="9">
        <v>170.4396163056017</v>
      </c>
      <c r="G41" s="9">
        <v>1.4043227628016328</v>
      </c>
      <c r="H41" s="9">
        <v>2.9747324803685631</v>
      </c>
      <c r="I41" s="9">
        <v>1.7372698907881603</v>
      </c>
      <c r="J41" s="9">
        <v>3.3084528268110232</v>
      </c>
      <c r="K41" s="9">
        <v>0.52510039638760497</v>
      </c>
    </row>
    <row r="42" spans="1:11">
      <c r="A42" s="52">
        <v>15</v>
      </c>
      <c r="B42" s="9">
        <v>19.152646323978018</v>
      </c>
      <c r="C42" s="9">
        <v>9.2724732941789245</v>
      </c>
      <c r="D42" s="52">
        <v>8.3333333333333329E-2</v>
      </c>
      <c r="E42" s="9">
        <v>0.75</v>
      </c>
      <c r="F42" s="9">
        <v>151.04497562814015</v>
      </c>
      <c r="G42" s="9">
        <v>1.0760546125148545</v>
      </c>
      <c r="H42" s="9">
        <v>2.6362321433056359</v>
      </c>
      <c r="I42" s="9">
        <v>2.0655380410749387</v>
      </c>
      <c r="J42" s="9">
        <v>3.6469531638739503</v>
      </c>
      <c r="K42" s="9">
        <v>0.56637361333174774</v>
      </c>
    </row>
    <row r="43" spans="1:11">
      <c r="A43" s="52">
        <v>17</v>
      </c>
      <c r="B43" s="9">
        <v>22.791188824181738</v>
      </c>
      <c r="C43" s="9">
        <v>9.5787599555376222</v>
      </c>
      <c r="D43" s="52">
        <v>8.3333333333333329E-2</v>
      </c>
      <c r="E43" s="9">
        <v>0.58333333333333326</v>
      </c>
      <c r="F43" s="9">
        <v>130.75136329567184</v>
      </c>
      <c r="G43" s="9">
        <v>0.76224616928773958</v>
      </c>
      <c r="H43" s="9">
        <v>2.2820417909807373</v>
      </c>
      <c r="I43" s="9">
        <v>2.3793464843020535</v>
      </c>
      <c r="J43" s="9">
        <v>4.0011435161988489</v>
      </c>
      <c r="K43" s="9">
        <v>0.59466661834776458</v>
      </c>
    </row>
    <row r="44" spans="1:11">
      <c r="A44" s="52">
        <v>19</v>
      </c>
      <c r="B44" s="9">
        <v>25.931008748946283</v>
      </c>
      <c r="C44" s="9">
        <v>9.7213622552864809</v>
      </c>
      <c r="D44" s="52">
        <v>8.3333333333333329E-2</v>
      </c>
      <c r="E44" s="9">
        <v>0.41666666666666674</v>
      </c>
      <c r="F44" s="9">
        <v>108.62933057469591</v>
      </c>
      <c r="G44" s="9">
        <v>0.4741672385102359</v>
      </c>
      <c r="H44" s="9">
        <v>1.8959394827657876</v>
      </c>
      <c r="I44" s="9">
        <v>2.6674254150795571</v>
      </c>
      <c r="J44" s="9">
        <v>4.3872458244137986</v>
      </c>
      <c r="K44" s="9">
        <v>0.60799543080902352</v>
      </c>
    </row>
    <row r="45" spans="1:11">
      <c r="A45" s="52">
        <v>21</v>
      </c>
      <c r="B45" s="9">
        <v>28.167514145874936</v>
      </c>
      <c r="C45" s="9">
        <v>9.6631646943369205</v>
      </c>
      <c r="D45" s="52">
        <v>8.3333333333333329E-2</v>
      </c>
      <c r="E45" s="9">
        <v>0.25</v>
      </c>
      <c r="F45" s="9">
        <v>82.819244218541712</v>
      </c>
      <c r="G45" s="9">
        <v>0.22665587698880485</v>
      </c>
      <c r="H45" s="9">
        <v>1.4454684956268311</v>
      </c>
      <c r="I45" s="9">
        <v>2.9149367766009884</v>
      </c>
      <c r="J45" s="9">
        <v>4.8377168115527551</v>
      </c>
      <c r="K45" s="9">
        <v>0.60254390452122919</v>
      </c>
    </row>
    <row r="46" spans="1:11">
      <c r="A46" s="52">
        <v>23</v>
      </c>
      <c r="B46" s="9">
        <v>28.739082472023622</v>
      </c>
      <c r="C46" s="9">
        <v>9.2802422915485288</v>
      </c>
      <c r="D46" s="52">
        <v>8.3333333333333329E-2</v>
      </c>
      <c r="E46" s="9">
        <v>8.3333333333333259E-2</v>
      </c>
      <c r="F46" s="9">
        <v>47.112928618202425</v>
      </c>
      <c r="G46" s="9">
        <v>4.4789620958181509E-2</v>
      </c>
      <c r="H46" s="9">
        <v>0.82227572464469478</v>
      </c>
      <c r="I46" s="9">
        <v>3.0968030326316116</v>
      </c>
      <c r="J46" s="9">
        <v>5.4609095825348914</v>
      </c>
      <c r="K46" s="9">
        <v>0.56708557170326035</v>
      </c>
    </row>
    <row r="47" spans="1:11">
      <c r="A47" s="52">
        <v>25</v>
      </c>
      <c r="B47" s="9" t="e">
        <v>#NUM!</v>
      </c>
      <c r="C47" s="9" t="e">
        <v>#NUM!</v>
      </c>
      <c r="D47" s="52">
        <v>8.3333333333333329E-2</v>
      </c>
      <c r="E47" s="9">
        <v>-8.3333333333333481E-2</v>
      </c>
      <c r="F47" s="9" t="e">
        <v>#NUM!</v>
      </c>
      <c r="G47" s="9" t="e">
        <v>#NUM!</v>
      </c>
      <c r="H47" s="9" t="e">
        <v>#NUM!</v>
      </c>
      <c r="I47" s="9" t="e">
        <v>#NUM!</v>
      </c>
      <c r="J47" s="9" t="e">
        <v>#NUM!</v>
      </c>
      <c r="K47" s="9" t="e">
        <v>#NUM!</v>
      </c>
    </row>
    <row r="48" spans="1:11">
      <c r="A48" s="52">
        <v>27</v>
      </c>
      <c r="B48" s="9" t="e">
        <v>#NUM!</v>
      </c>
      <c r="C48" s="9" t="e">
        <v>#NUM!</v>
      </c>
      <c r="D48" s="52">
        <v>8.3333333333333329E-2</v>
      </c>
      <c r="E48" s="9">
        <v>-0.25</v>
      </c>
      <c r="F48" s="9" t="e">
        <v>#NUM!</v>
      </c>
      <c r="G48" s="9" t="e">
        <v>#NUM!</v>
      </c>
      <c r="H48" s="9" t="e">
        <v>#NUM!</v>
      </c>
      <c r="I48" s="9" t="e">
        <v>#NUM!</v>
      </c>
      <c r="J48" s="9" t="e">
        <v>#NUM!</v>
      </c>
      <c r="K48" s="9" t="e">
        <v>#NUM!</v>
      </c>
    </row>
    <row r="49" spans="1:11">
      <c r="A49" s="52">
        <v>29</v>
      </c>
      <c r="B49" s="9" t="e">
        <v>#NUM!</v>
      </c>
      <c r="C49" s="9" t="e">
        <v>#NUM!</v>
      </c>
      <c r="D49" s="52">
        <v>8.3333333333333329E-2</v>
      </c>
      <c r="E49" s="9">
        <v>-0.41666666666666652</v>
      </c>
      <c r="F49" s="9" t="e">
        <v>#NUM!</v>
      </c>
      <c r="G49" s="9" t="e">
        <v>#NUM!</v>
      </c>
      <c r="H49" s="9" t="e">
        <v>#NUM!</v>
      </c>
      <c r="I49" s="9" t="e">
        <v>#NUM!</v>
      </c>
      <c r="J49" s="9" t="e">
        <v>#NUM!</v>
      </c>
      <c r="K49" s="9" t="e">
        <v>#NUM!</v>
      </c>
    </row>
    <row r="50" spans="1:11">
      <c r="A50" s="52">
        <v>31</v>
      </c>
      <c r="B50" s="9" t="e">
        <v>#NUM!</v>
      </c>
      <c r="C50" s="9" t="e">
        <v>#NUM!</v>
      </c>
      <c r="D50" s="52">
        <v>8.3333333333333329E-2</v>
      </c>
      <c r="E50" s="9">
        <v>-0.58333333333333348</v>
      </c>
      <c r="F50" s="9" t="e">
        <v>#NUM!</v>
      </c>
      <c r="G50" s="9" t="e">
        <v>#NUM!</v>
      </c>
      <c r="H50" s="9" t="e">
        <v>#NUM!</v>
      </c>
      <c r="I50" s="9" t="e">
        <v>#NUM!</v>
      </c>
      <c r="J50" s="9" t="e">
        <v>#NUM!</v>
      </c>
      <c r="K50" s="9" t="e">
        <v>#NUM!</v>
      </c>
    </row>
    <row r="51" spans="1:11">
      <c r="A51" s="52">
        <v>33</v>
      </c>
      <c r="B51" s="9" t="e">
        <v>#NUM!</v>
      </c>
      <c r="C51" s="9" t="e">
        <v>#NUM!</v>
      </c>
      <c r="D51" s="52">
        <v>8.3333333333333329E-2</v>
      </c>
      <c r="E51" s="9">
        <v>-0.75</v>
      </c>
      <c r="F51" s="9" t="e">
        <v>#NUM!</v>
      </c>
      <c r="G51" s="9" t="e">
        <v>#NUM!</v>
      </c>
      <c r="H51" s="9" t="e">
        <v>#NUM!</v>
      </c>
      <c r="I51" s="9" t="e">
        <v>#NUM!</v>
      </c>
      <c r="J51" s="9" t="e">
        <v>#NUM!</v>
      </c>
      <c r="K51" s="9" t="e">
        <v>#NUM!</v>
      </c>
    </row>
    <row r="52" spans="1:11">
      <c r="A52" s="52">
        <v>35</v>
      </c>
      <c r="B52" s="9" t="e">
        <v>#NUM!</v>
      </c>
      <c r="C52" s="9" t="e">
        <v>#NUM!</v>
      </c>
      <c r="D52" s="52">
        <v>8.3333333333333329E-2</v>
      </c>
      <c r="E52" s="9">
        <v>-0.91666666666666652</v>
      </c>
      <c r="F52" s="9" t="e">
        <v>#NUM!</v>
      </c>
      <c r="G52" s="9" t="e">
        <v>#NUM!</v>
      </c>
      <c r="H52" s="9" t="e">
        <v>#NUM!</v>
      </c>
      <c r="I52" s="9" t="e">
        <v>#NUM!</v>
      </c>
      <c r="J52" s="9" t="e">
        <v>#NUM!</v>
      </c>
      <c r="K52" s="9" t="e">
        <v>#NUM!</v>
      </c>
    </row>
    <row r="53" spans="1:11">
      <c r="A53" s="52">
        <v>37</v>
      </c>
      <c r="B53" s="9" t="e">
        <v>#NUM!</v>
      </c>
      <c r="C53" s="9" t="e">
        <v>#NUM!</v>
      </c>
      <c r="D53" s="52">
        <v>8.3333333333333329E-2</v>
      </c>
      <c r="E53" s="9">
        <v>-1.0833333333333335</v>
      </c>
      <c r="F53" s="9" t="e">
        <v>#NUM!</v>
      </c>
      <c r="G53" s="9" t="e">
        <v>#NUM!</v>
      </c>
      <c r="H53" s="9" t="e">
        <v>#NUM!</v>
      </c>
      <c r="I53" s="9" t="e">
        <v>#NUM!</v>
      </c>
      <c r="J53" s="9" t="e">
        <v>#NUM!</v>
      </c>
      <c r="K53" s="9" t="e">
        <v>#NUM!</v>
      </c>
    </row>
    <row r="54" spans="1:11">
      <c r="A54" s="52">
        <v>39</v>
      </c>
      <c r="B54" s="9" t="e">
        <v>#NUM!</v>
      </c>
      <c r="C54" s="9" t="e">
        <v>#NUM!</v>
      </c>
      <c r="D54" s="52">
        <v>8.3333333333333329E-2</v>
      </c>
      <c r="E54" s="9">
        <v>-1.25</v>
      </c>
      <c r="F54" s="9" t="e">
        <v>#NUM!</v>
      </c>
      <c r="G54" s="9" t="e">
        <v>#NUM!</v>
      </c>
      <c r="H54" s="9" t="e">
        <v>#NUM!</v>
      </c>
      <c r="I54" s="9" t="e">
        <v>#NUM!</v>
      </c>
      <c r="J54" s="9" t="e">
        <v>#NUM!</v>
      </c>
      <c r="K54" s="9" t="e">
        <v>#NUM!</v>
      </c>
    </row>
    <row r="55" spans="1:11">
      <c r="A55" s="52">
        <v>41</v>
      </c>
      <c r="B55" s="9" t="e">
        <v>#NUM!</v>
      </c>
      <c r="C55" s="9" t="e">
        <v>#NUM!</v>
      </c>
      <c r="D55" s="52">
        <v>8.3333333333333329E-2</v>
      </c>
      <c r="E55" s="9">
        <v>-1.4166666666666665</v>
      </c>
      <c r="F55" s="9" t="e">
        <v>#NUM!</v>
      </c>
      <c r="G55" s="9" t="e">
        <v>#NUM!</v>
      </c>
      <c r="H55" s="9" t="e">
        <v>#NUM!</v>
      </c>
      <c r="I55" s="9" t="e">
        <v>#NUM!</v>
      </c>
      <c r="J55" s="9" t="e">
        <v>#NUM!</v>
      </c>
      <c r="K55" s="9" t="e">
        <v>#NUM!</v>
      </c>
    </row>
    <row r="56" spans="1:11">
      <c r="A56" s="52">
        <v>43</v>
      </c>
      <c r="B56" s="9" t="e">
        <v>#NUM!</v>
      </c>
      <c r="C56" s="9" t="e">
        <v>#NUM!</v>
      </c>
      <c r="D56" s="52">
        <v>8.3333333333333329E-2</v>
      </c>
      <c r="E56" s="9">
        <v>-1.5833333333333335</v>
      </c>
      <c r="F56" s="9" t="e">
        <v>#NUM!</v>
      </c>
      <c r="G56" s="9" t="e">
        <v>#NUM!</v>
      </c>
      <c r="H56" s="9" t="e">
        <v>#NUM!</v>
      </c>
      <c r="I56" s="9" t="e">
        <v>#NUM!</v>
      </c>
      <c r="J56" s="9" t="e">
        <v>#NUM!</v>
      </c>
      <c r="K56" s="9" t="e">
        <v>#NUM!</v>
      </c>
    </row>
    <row r="57" spans="1:11">
      <c r="A57" s="52">
        <v>45</v>
      </c>
      <c r="B57" s="9" t="e">
        <v>#NUM!</v>
      </c>
      <c r="C57" s="9" t="e">
        <v>#NUM!</v>
      </c>
      <c r="D57" s="52">
        <v>8.3333333333333329E-2</v>
      </c>
      <c r="E57" s="9">
        <v>-1.75</v>
      </c>
      <c r="F57" s="9" t="e">
        <v>#NUM!</v>
      </c>
      <c r="G57" s="9" t="e">
        <v>#NUM!</v>
      </c>
      <c r="H57" s="9" t="e">
        <v>#NUM!</v>
      </c>
      <c r="I57" s="9" t="e">
        <v>#NUM!</v>
      </c>
      <c r="J57" s="9" t="e">
        <v>#NUM!</v>
      </c>
      <c r="K57" s="9" t="e">
        <v>#NUM!</v>
      </c>
    </row>
    <row r="58" spans="1:11">
      <c r="A58" s="52">
        <v>47</v>
      </c>
      <c r="B58" s="9" t="e">
        <v>#NUM!</v>
      </c>
      <c r="C58" s="9" t="e">
        <v>#NUM!</v>
      </c>
      <c r="D58" s="52">
        <v>8.3333333333333329E-2</v>
      </c>
      <c r="E58" s="9">
        <v>-1.9166666666666665</v>
      </c>
      <c r="F58" s="9" t="e">
        <v>#NUM!</v>
      </c>
      <c r="G58" s="9" t="e">
        <v>#NUM!</v>
      </c>
      <c r="H58" s="9" t="e">
        <v>#NUM!</v>
      </c>
      <c r="I58" s="9" t="e">
        <v>#NUM!</v>
      </c>
      <c r="J58" s="9" t="e">
        <v>#NUM!</v>
      </c>
      <c r="K58" s="9" t="e">
        <v>#NUM!</v>
      </c>
    </row>
    <row r="59" spans="1:11">
      <c r="A59" s="52">
        <v>49</v>
      </c>
      <c r="B59" s="9" t="e">
        <v>#NUM!</v>
      </c>
      <c r="C59" s="9" t="e">
        <v>#NUM!</v>
      </c>
      <c r="D59" s="52">
        <v>8.3333333333333329E-2</v>
      </c>
      <c r="E59" s="9">
        <v>-2.083333333333333</v>
      </c>
      <c r="F59" s="9" t="e">
        <v>#NUM!</v>
      </c>
      <c r="G59" s="9" t="e">
        <v>#NUM!</v>
      </c>
      <c r="H59" s="9" t="e">
        <v>#NUM!</v>
      </c>
      <c r="I59" s="9" t="e">
        <v>#NUM!</v>
      </c>
      <c r="J59" s="9" t="e">
        <v>#NUM!</v>
      </c>
      <c r="K59" s="9" t="e">
        <v>#NUM!</v>
      </c>
    </row>
    <row r="60" spans="1:11">
      <c r="A60" s="52">
        <v>51</v>
      </c>
      <c r="B60" s="9" t="e">
        <v>#NUM!</v>
      </c>
      <c r="C60" s="9" t="e">
        <v>#NUM!</v>
      </c>
      <c r="D60" s="52">
        <v>8.3333333333333329E-2</v>
      </c>
      <c r="E60" s="9">
        <v>-2.25</v>
      </c>
      <c r="F60" s="9" t="e">
        <v>#NUM!</v>
      </c>
      <c r="G60" s="9" t="e">
        <v>#NUM!</v>
      </c>
      <c r="H60" s="9" t="e">
        <v>#NUM!</v>
      </c>
      <c r="I60" s="9" t="e">
        <v>#NUM!</v>
      </c>
      <c r="J60" s="9" t="e">
        <v>#NUM!</v>
      </c>
      <c r="K60" s="9" t="e">
        <v>#NUM!</v>
      </c>
    </row>
    <row r="61" spans="1:11">
      <c r="A61" s="52">
        <v>53</v>
      </c>
      <c r="B61" s="9" t="e">
        <v>#NUM!</v>
      </c>
      <c r="C61" s="9" t="e">
        <v>#NUM!</v>
      </c>
      <c r="D61" s="52">
        <v>8.3333333333333329E-2</v>
      </c>
      <c r="E61" s="9">
        <v>-2.416666666666667</v>
      </c>
      <c r="F61" s="9" t="e">
        <v>#NUM!</v>
      </c>
      <c r="G61" s="9" t="e">
        <v>#NUM!</v>
      </c>
      <c r="H61" s="9" t="e">
        <v>#NUM!</v>
      </c>
      <c r="I61" s="9" t="e">
        <v>#NUM!</v>
      </c>
      <c r="J61" s="9" t="e">
        <v>#NUM!</v>
      </c>
      <c r="K61" s="9" t="e">
        <v>#NUM!</v>
      </c>
    </row>
    <row r="62" spans="1:11">
      <c r="A62" s="52">
        <v>55</v>
      </c>
      <c r="B62" s="9" t="e">
        <v>#NUM!</v>
      </c>
      <c r="C62" s="9" t="e">
        <v>#NUM!</v>
      </c>
      <c r="D62" s="52">
        <v>8.3333333333333329E-2</v>
      </c>
      <c r="E62" s="9">
        <v>-2.583333333333333</v>
      </c>
      <c r="F62" s="9" t="e">
        <v>#NUM!</v>
      </c>
      <c r="G62" s="9" t="e">
        <v>#NUM!</v>
      </c>
      <c r="H62" s="9" t="e">
        <v>#NUM!</v>
      </c>
      <c r="I62" s="9" t="e">
        <v>#NUM!</v>
      </c>
      <c r="J62" s="9" t="e">
        <v>#NUM!</v>
      </c>
      <c r="K62" s="9" t="e">
        <v>#NUM!</v>
      </c>
    </row>
    <row r="63" spans="1:11">
      <c r="A63" s="52">
        <v>57</v>
      </c>
      <c r="B63" s="9" t="e">
        <v>#NUM!</v>
      </c>
      <c r="C63" s="9" t="e">
        <v>#NUM!</v>
      </c>
      <c r="D63" s="52">
        <v>8.3333333333333329E-2</v>
      </c>
      <c r="E63" s="9">
        <v>-2.75</v>
      </c>
      <c r="F63" s="9" t="e">
        <v>#NUM!</v>
      </c>
      <c r="G63" s="9" t="e">
        <v>#NUM!</v>
      </c>
      <c r="H63" s="9" t="e">
        <v>#NUM!</v>
      </c>
      <c r="I63" s="9" t="e">
        <v>#NUM!</v>
      </c>
      <c r="J63" s="9" t="e">
        <v>#NUM!</v>
      </c>
      <c r="K63" s="9" t="e">
        <v>#NUM!</v>
      </c>
    </row>
    <row r="64" spans="1:11">
      <c r="A64" s="52">
        <v>59</v>
      </c>
      <c r="B64" s="9" t="e">
        <v>#NUM!</v>
      </c>
      <c r="C64" s="9" t="e">
        <v>#NUM!</v>
      </c>
      <c r="D64" s="52">
        <v>8.3333333333333329E-2</v>
      </c>
      <c r="E64" s="9">
        <v>-2.916666666666667</v>
      </c>
      <c r="F64" s="9" t="e">
        <v>#NUM!</v>
      </c>
      <c r="G64" s="9" t="e">
        <v>#NUM!</v>
      </c>
      <c r="H64" s="9" t="e">
        <v>#NUM!</v>
      </c>
      <c r="I64" s="9" t="e">
        <v>#NUM!</v>
      </c>
      <c r="J64" s="9" t="e">
        <v>#NUM!</v>
      </c>
      <c r="K64" s="9" t="e">
        <v>#NUM!</v>
      </c>
    </row>
    <row r="65" spans="1:11">
      <c r="A65" s="52">
        <v>61</v>
      </c>
      <c r="B65" s="9" t="e">
        <v>#NUM!</v>
      </c>
      <c r="C65" s="9" t="e">
        <v>#NUM!</v>
      </c>
      <c r="D65" s="52">
        <v>8.3333333333333329E-2</v>
      </c>
      <c r="E65" s="9">
        <v>-3.083333333333333</v>
      </c>
      <c r="F65" s="9" t="e">
        <v>#NUM!</v>
      </c>
      <c r="G65" s="9" t="e">
        <v>#NUM!</v>
      </c>
      <c r="H65" s="9" t="e">
        <v>#NUM!</v>
      </c>
      <c r="I65" s="9" t="e">
        <v>#NUM!</v>
      </c>
      <c r="J65" s="9" t="e">
        <v>#NUM!</v>
      </c>
      <c r="K65" s="9" t="e">
        <v>#NUM!</v>
      </c>
    </row>
    <row r="66" spans="1:11">
      <c r="A66" s="52">
        <v>63</v>
      </c>
      <c r="B66" s="9" t="e">
        <v>#NUM!</v>
      </c>
      <c r="C66" s="9" t="e">
        <v>#NUM!</v>
      </c>
      <c r="D66" s="52">
        <v>8.3333333333333329E-2</v>
      </c>
      <c r="E66" s="9">
        <v>-3.25</v>
      </c>
      <c r="F66" s="9" t="e">
        <v>#NUM!</v>
      </c>
      <c r="G66" s="9" t="e">
        <v>#NUM!</v>
      </c>
      <c r="H66" s="9" t="e">
        <v>#NUM!</v>
      </c>
      <c r="I66" s="9" t="e">
        <v>#NUM!</v>
      </c>
      <c r="J66" s="9" t="e">
        <v>#NUM!</v>
      </c>
      <c r="K66" s="9" t="e">
        <v>#NUM!</v>
      </c>
    </row>
    <row r="67" spans="1:11">
      <c r="A67" s="52">
        <v>65</v>
      </c>
      <c r="B67" s="9" t="e">
        <v>#NUM!</v>
      </c>
      <c r="C67" s="9" t="e">
        <v>#NUM!</v>
      </c>
      <c r="D67" s="52">
        <v>8.3333333333333329E-2</v>
      </c>
      <c r="E67" s="9">
        <v>-3.416666666666667</v>
      </c>
      <c r="F67" s="9" t="e">
        <v>#NUM!</v>
      </c>
      <c r="G67" s="9" t="e">
        <v>#NUM!</v>
      </c>
      <c r="H67" s="9" t="e">
        <v>#NUM!</v>
      </c>
      <c r="I67" s="9" t="e">
        <v>#NUM!</v>
      </c>
      <c r="J67" s="9" t="e">
        <v>#NUM!</v>
      </c>
      <c r="K67" s="9" t="e">
        <v>#NUM!</v>
      </c>
    </row>
    <row r="68" spans="1:11">
      <c r="A68" s="52">
        <v>67</v>
      </c>
      <c r="B68" s="9" t="e">
        <v>#NUM!</v>
      </c>
      <c r="C68" s="9" t="e">
        <v>#NUM!</v>
      </c>
      <c r="D68" s="52">
        <v>8.3333333333333329E-2</v>
      </c>
      <c r="E68" s="9">
        <v>-3.583333333333333</v>
      </c>
      <c r="F68" s="9" t="e">
        <v>#NUM!</v>
      </c>
      <c r="G68" s="9" t="e">
        <v>#NUM!</v>
      </c>
      <c r="H68" s="9" t="e">
        <v>#NUM!</v>
      </c>
      <c r="I68" s="9" t="e">
        <v>#NUM!</v>
      </c>
      <c r="J68" s="9" t="e">
        <v>#NUM!</v>
      </c>
      <c r="K68" s="9" t="e">
        <v>#NUM!</v>
      </c>
    </row>
    <row r="69" spans="1:11">
      <c r="A69" s="52">
        <v>69</v>
      </c>
      <c r="B69" s="9" t="e">
        <v>#NUM!</v>
      </c>
      <c r="C69" s="9" t="e">
        <v>#NUM!</v>
      </c>
      <c r="D69" s="52">
        <v>8.3333333333333329E-2</v>
      </c>
      <c r="E69" s="9">
        <v>-3.75</v>
      </c>
      <c r="F69" s="9" t="e">
        <v>#NUM!</v>
      </c>
      <c r="G69" s="9" t="e">
        <v>#NUM!</v>
      </c>
      <c r="H69" s="9" t="e">
        <v>#NUM!</v>
      </c>
      <c r="I69" s="9" t="e">
        <v>#NUM!</v>
      </c>
      <c r="J69" s="9" t="e">
        <v>#NUM!</v>
      </c>
      <c r="K69" s="9" t="e">
        <v>#NUM!</v>
      </c>
    </row>
    <row r="70" spans="1:11">
      <c r="A70" s="52">
        <v>71</v>
      </c>
      <c r="B70" s="9" t="e">
        <v>#NUM!</v>
      </c>
      <c r="C70" s="9" t="e">
        <v>#NUM!</v>
      </c>
      <c r="D70" s="52">
        <v>8.3333333333333329E-2</v>
      </c>
      <c r="E70" s="9">
        <v>-3.916666666666667</v>
      </c>
      <c r="F70" s="9" t="e">
        <v>#NUM!</v>
      </c>
      <c r="G70" s="9" t="e">
        <v>#NUM!</v>
      </c>
      <c r="H70" s="9" t="e">
        <v>#NUM!</v>
      </c>
      <c r="I70" s="9" t="e">
        <v>#NUM!</v>
      </c>
      <c r="J70" s="9" t="e">
        <v>#NUM!</v>
      </c>
      <c r="K70" s="9" t="e">
        <v>#NUM!</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E42FF-E426-468D-8763-320F61EDA10D}">
  <dimension ref="A1:C15"/>
  <sheetViews>
    <sheetView workbookViewId="0">
      <selection activeCell="C17" sqref="C17"/>
    </sheetView>
  </sheetViews>
  <sheetFormatPr defaultRowHeight="15"/>
  <cols>
    <col min="1" max="1" width="16.85546875" bestFit="1" customWidth="1"/>
    <col min="2" max="2" width="12.5703125" bestFit="1" customWidth="1"/>
  </cols>
  <sheetData>
    <row r="1" spans="1:3">
      <c r="A1" t="s">
        <v>80</v>
      </c>
      <c r="B1">
        <f>'Riser Inputs and Outputs'!P5</f>
        <v>32.200000000000003</v>
      </c>
      <c r="C1" t="s">
        <v>81</v>
      </c>
    </row>
    <row r="2" spans="1:3">
      <c r="A2" t="s">
        <v>75</v>
      </c>
      <c r="B2">
        <f>'Riser Inputs and Outputs'!P4</f>
        <v>62.4</v>
      </c>
      <c r="C2" t="s">
        <v>76</v>
      </c>
    </row>
    <row r="3" spans="1:3">
      <c r="A3" t="s">
        <v>70</v>
      </c>
      <c r="B3" s="20">
        <f>'Riser Inputs and Outputs'!D17</f>
        <v>0</v>
      </c>
      <c r="C3" t="s">
        <v>9</v>
      </c>
    </row>
    <row r="4" spans="1:3">
      <c r="A4" t="s">
        <v>71</v>
      </c>
      <c r="B4">
        <f>'Riser Inputs and Outputs'!D15</f>
        <v>0</v>
      </c>
      <c r="C4" t="s">
        <v>7</v>
      </c>
    </row>
    <row r="5" spans="1:3">
      <c r="A5" t="s">
        <v>8</v>
      </c>
      <c r="B5">
        <f>'Riser Inputs and Outputs'!D16</f>
        <v>0</v>
      </c>
      <c r="C5" t="s">
        <v>7</v>
      </c>
    </row>
    <row r="7" spans="1:3">
      <c r="A7" t="s">
        <v>72</v>
      </c>
      <c r="B7" s="9">
        <f>'Riser Inputs and Outputs'!D7/12</f>
        <v>4</v>
      </c>
      <c r="C7" t="s">
        <v>5</v>
      </c>
    </row>
    <row r="8" spans="1:3">
      <c r="A8" t="s">
        <v>92</v>
      </c>
      <c r="B8" s="9">
        <f>B7/3</f>
        <v>1.3333333333333333</v>
      </c>
    </row>
    <row r="9" spans="1:3">
      <c r="A9" t="s">
        <v>73</v>
      </c>
      <c r="B9" s="9">
        <f>'Box - Lower Orifice'!C21</f>
        <v>4.9087385212340517E-2</v>
      </c>
      <c r="C9" t="s">
        <v>32</v>
      </c>
    </row>
    <row r="11" spans="1:3">
      <c r="A11" t="s">
        <v>74</v>
      </c>
      <c r="B11" s="9">
        <f>B2*B1*B8*B9</f>
        <v>131.50706847926872</v>
      </c>
      <c r="C11" t="s">
        <v>82</v>
      </c>
    </row>
    <row r="13" spans="1:3">
      <c r="A13" t="s">
        <v>83</v>
      </c>
      <c r="B13" s="9">
        <f>(B4+B5)*SIN(B3*PI()/180)*B1</f>
        <v>0</v>
      </c>
      <c r="C13" t="s">
        <v>82</v>
      </c>
    </row>
    <row r="15" spans="1:3">
      <c r="B15" s="1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4F96-AE2C-4680-BC71-E1CEA15815A8}">
  <dimension ref="A3:E18"/>
  <sheetViews>
    <sheetView topLeftCell="A7" workbookViewId="0">
      <selection activeCell="C17" sqref="C17"/>
    </sheetView>
  </sheetViews>
  <sheetFormatPr defaultRowHeight="15"/>
  <cols>
    <col min="1" max="1" width="23.140625" bestFit="1" customWidth="1"/>
    <col min="2" max="2" width="11.5703125" bestFit="1" customWidth="1"/>
    <col min="3" max="3" width="13.5703125" bestFit="1" customWidth="1"/>
  </cols>
  <sheetData>
    <row r="3" spans="1:4">
      <c r="A3" t="s">
        <v>98</v>
      </c>
      <c r="B3" t="s">
        <v>80</v>
      </c>
      <c r="C3">
        <f>'Riser Inputs and Outputs'!P5</f>
        <v>32.200000000000003</v>
      </c>
      <c r="D3" t="s">
        <v>81</v>
      </c>
    </row>
    <row r="4" spans="1:4">
      <c r="A4" t="s">
        <v>75</v>
      </c>
      <c r="B4" s="18" t="s">
        <v>24</v>
      </c>
      <c r="C4">
        <f>'Riser Inputs and Outputs'!P4</f>
        <v>62.4</v>
      </c>
      <c r="D4" t="s">
        <v>76</v>
      </c>
    </row>
    <row r="5" spans="1:4">
      <c r="A5" t="s">
        <v>73</v>
      </c>
      <c r="C5" s="26">
        <f>'Box - Lower Orifice'!C21</f>
        <v>4.9087385212340517E-2</v>
      </c>
      <c r="D5" t="s">
        <v>32</v>
      </c>
    </row>
    <row r="6" spans="1:4">
      <c r="A6" t="s">
        <v>71</v>
      </c>
      <c r="C6" s="20">
        <f>'Riser Inputs and Outputs'!D15+'Riser Inputs and Outputs'!D16</f>
        <v>0</v>
      </c>
      <c r="D6" t="s">
        <v>7</v>
      </c>
    </row>
    <row r="7" spans="1:4">
      <c r="A7" t="s">
        <v>106</v>
      </c>
      <c r="C7" s="20">
        <f>'Riser Inputs and Outputs'!D4/12</f>
        <v>2</v>
      </c>
      <c r="D7" t="s">
        <v>5</v>
      </c>
    </row>
    <row r="9" spans="1:4">
      <c r="A9" s="13" t="s">
        <v>94</v>
      </c>
      <c r="B9" s="15">
        <f>'Riser Inputs and Outputs'!D40-'Riser Inputs and Outputs'!D41</f>
        <v>131.50706847926872</v>
      </c>
      <c r="C9" s="13" t="str">
        <f>'Riser Inputs and Outputs'!D42</f>
        <v>Open</v>
      </c>
      <c r="D9" s="13"/>
    </row>
    <row r="10" spans="1:4">
      <c r="A10" s="13" t="s">
        <v>22</v>
      </c>
      <c r="B10" s="14">
        <f>'Riser Inputs and Outputs'!F7</f>
        <v>4</v>
      </c>
      <c r="C10" s="13" t="s">
        <v>37</v>
      </c>
      <c r="D10" s="13"/>
    </row>
    <row r="11" spans="1:4">
      <c r="A11" s="13" t="s">
        <v>95</v>
      </c>
      <c r="B11" s="21">
        <f>'Riser Inputs and Outputs'!D14</f>
        <v>3</v>
      </c>
      <c r="C11" s="13" t="s">
        <v>37</v>
      </c>
      <c r="D11" s="13"/>
    </row>
    <row r="13" spans="1:4">
      <c r="A13" t="s">
        <v>102</v>
      </c>
      <c r="C13" s="9" t="e">
        <f>IF(B9&gt;0,'Box - Lower Orifice'!C32,0)</f>
        <v>#NUM!</v>
      </c>
      <c r="D13" t="s">
        <v>59</v>
      </c>
    </row>
    <row r="14" spans="1:4">
      <c r="A14" s="122" t="s">
        <v>104</v>
      </c>
      <c r="C14" s="11" t="e">
        <f>C4*C5*C13^2*B10/3</f>
        <v>#NUM!</v>
      </c>
    </row>
    <row r="15" spans="1:4">
      <c r="A15" s="122" t="s">
        <v>105</v>
      </c>
      <c r="C15" s="9">
        <f>C6*C3*(C7/2)</f>
        <v>0</v>
      </c>
      <c r="D15" s="19"/>
    </row>
    <row r="16" spans="1:4">
      <c r="A16" s="122" t="s">
        <v>103</v>
      </c>
      <c r="C16" s="11" t="str">
        <f>IFERROR(C14/C15,"Closed")</f>
        <v>Closed</v>
      </c>
    </row>
    <row r="17" spans="1:5">
      <c r="A17" s="18" t="s">
        <v>67</v>
      </c>
      <c r="C17" s="11" t="str">
        <f>IF(C16&gt;1,"Fully Open",ASIN(C16))</f>
        <v>Fully Open</v>
      </c>
      <c r="E17" t="s">
        <v>29</v>
      </c>
    </row>
    <row r="18" spans="1:5">
      <c r="C18" s="11" t="str">
        <f>IF(C16&gt;1,"Fully Open",C17*180/PI())</f>
        <v>Fully Open</v>
      </c>
      <c r="E18" t="s">
        <v>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67EF-321A-41AA-AE82-2DF2FB46FC7F}">
  <dimension ref="A3:H24"/>
  <sheetViews>
    <sheetView topLeftCell="A13" workbookViewId="0">
      <selection activeCell="C17" sqref="C17"/>
    </sheetView>
  </sheetViews>
  <sheetFormatPr defaultRowHeight="15"/>
  <cols>
    <col min="1" max="1" width="23.140625" bestFit="1" customWidth="1"/>
    <col min="2" max="2" width="11.5703125" bestFit="1" customWidth="1"/>
    <col min="3" max="3" width="16.140625" bestFit="1" customWidth="1"/>
    <col min="5" max="5" width="16.42578125" bestFit="1" customWidth="1"/>
    <col min="7" max="7" width="11.140625" bestFit="1" customWidth="1"/>
  </cols>
  <sheetData>
    <row r="3" spans="1:8">
      <c r="A3" t="s">
        <v>98</v>
      </c>
      <c r="B3" t="s">
        <v>80</v>
      </c>
      <c r="C3">
        <f>'Riser Inputs and Outputs'!P5</f>
        <v>32.200000000000003</v>
      </c>
      <c r="D3" t="s">
        <v>81</v>
      </c>
    </row>
    <row r="4" spans="1:8">
      <c r="A4" t="s">
        <v>75</v>
      </c>
      <c r="B4" s="18" t="s">
        <v>24</v>
      </c>
      <c r="C4">
        <f>'Riser Inputs and Outputs'!P4</f>
        <v>62.4</v>
      </c>
      <c r="D4" t="s">
        <v>76</v>
      </c>
    </row>
    <row r="5" spans="1:8">
      <c r="A5" t="s">
        <v>73</v>
      </c>
      <c r="C5" s="26">
        <f>PI()*C7^2/4</f>
        <v>1.227184630308513</v>
      </c>
      <c r="D5" t="s">
        <v>32</v>
      </c>
    </row>
    <row r="6" spans="1:8">
      <c r="A6" t="s">
        <v>71</v>
      </c>
      <c r="C6" s="20">
        <v>80</v>
      </c>
      <c r="D6" t="s">
        <v>7</v>
      </c>
    </row>
    <row r="7" spans="1:8">
      <c r="A7" t="s">
        <v>106</v>
      </c>
      <c r="C7" s="20">
        <v>1.25</v>
      </c>
      <c r="D7" t="s">
        <v>5</v>
      </c>
    </row>
    <row r="10" spans="1:8">
      <c r="A10" t="s">
        <v>102</v>
      </c>
      <c r="C10" s="9">
        <v>6</v>
      </c>
      <c r="D10" t="s">
        <v>59</v>
      </c>
      <c r="F10" t="s">
        <v>53</v>
      </c>
      <c r="G10" s="11">
        <f>C10*C5</f>
        <v>7.3631077818510775</v>
      </c>
      <c r="H10" t="s">
        <v>55</v>
      </c>
    </row>
    <row r="11" spans="1:8">
      <c r="A11" s="122" t="s">
        <v>104</v>
      </c>
      <c r="C11" s="11">
        <f>C4*C5*C10^2*C7/3</f>
        <v>1148.6448139687679</v>
      </c>
      <c r="G11" s="11">
        <f>G10*7.48*60</f>
        <v>3304.5627724947635</v>
      </c>
      <c r="H11" t="s">
        <v>56</v>
      </c>
    </row>
    <row r="12" spans="1:8">
      <c r="A12" s="122" t="s">
        <v>105</v>
      </c>
      <c r="C12" s="9">
        <f>C6*C3*(C7/2)</f>
        <v>1610</v>
      </c>
      <c r="D12" s="19"/>
    </row>
    <row r="13" spans="1:8">
      <c r="A13" s="122" t="s">
        <v>103</v>
      </c>
      <c r="C13" s="11">
        <f>IFERROR(C11/C12,"Closed")</f>
        <v>0.71344398383153285</v>
      </c>
    </row>
    <row r="14" spans="1:8">
      <c r="A14" s="18" t="s">
        <v>67</v>
      </c>
      <c r="C14" s="11">
        <f>IF(C13&gt;1,"Fully Open",ASIN(C13))</f>
        <v>0.79440096790944392</v>
      </c>
      <c r="E14" t="s">
        <v>29</v>
      </c>
    </row>
    <row r="15" spans="1:8">
      <c r="C15" s="11">
        <f>IF(C13&gt;1,"Fully Open",C14*180/PI())</f>
        <v>45.515822702318687</v>
      </c>
      <c r="E15" t="s">
        <v>9</v>
      </c>
    </row>
    <row r="18" spans="1:6">
      <c r="A18" t="s">
        <v>113</v>
      </c>
      <c r="C18">
        <v>0.6</v>
      </c>
    </row>
    <row r="19" spans="1:6">
      <c r="A19" t="s">
        <v>33</v>
      </c>
      <c r="C19" s="26">
        <f>C5</f>
        <v>1.227184630308513</v>
      </c>
      <c r="D19" t="s">
        <v>32</v>
      </c>
    </row>
    <row r="20" spans="1:6">
      <c r="A20" t="s">
        <v>114</v>
      </c>
      <c r="C20">
        <v>6</v>
      </c>
      <c r="D20" t="s">
        <v>37</v>
      </c>
    </row>
    <row r="21" spans="1:6">
      <c r="A21" t="s">
        <v>114</v>
      </c>
      <c r="C21" s="20">
        <f>C7/2+(C20-C7)</f>
        <v>5.375</v>
      </c>
    </row>
    <row r="22" spans="1:6">
      <c r="A22" t="s">
        <v>115</v>
      </c>
      <c r="C22">
        <v>297</v>
      </c>
      <c r="D22" t="s">
        <v>55</v>
      </c>
      <c r="E22" s="13" t="s">
        <v>101</v>
      </c>
    </row>
    <row r="23" spans="1:6">
      <c r="C23">
        <f>C22*7.48*60</f>
        <v>133293.6</v>
      </c>
      <c r="D23" t="s">
        <v>56</v>
      </c>
    </row>
    <row r="24" spans="1:6">
      <c r="A24" t="s">
        <v>116</v>
      </c>
      <c r="C24">
        <f>C22/C5</f>
        <v>242.01737266325972</v>
      </c>
      <c r="D24" t="s">
        <v>59</v>
      </c>
      <c r="E24">
        <f>C24*60/5280*60</f>
        <v>165.01184499767709</v>
      </c>
      <c r="F24" t="s">
        <v>117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88F4E-54E4-43F1-922B-19AEC9234F31}">
  <dimension ref="A1:G16"/>
  <sheetViews>
    <sheetView workbookViewId="0">
      <selection activeCell="C17" sqref="C17"/>
    </sheetView>
  </sheetViews>
  <sheetFormatPr defaultRowHeight="15"/>
  <cols>
    <col min="1" max="1" width="13.5703125" bestFit="1" customWidth="1"/>
    <col min="5" max="5" width="13.5703125" bestFit="1" customWidth="1"/>
  </cols>
  <sheetData>
    <row r="1" spans="1:7">
      <c r="A1" t="s">
        <v>109</v>
      </c>
      <c r="E1" t="s">
        <v>110</v>
      </c>
    </row>
    <row r="2" spans="1:7">
      <c r="A2" s="4" t="s">
        <v>16</v>
      </c>
      <c r="B2" s="4">
        <v>67</v>
      </c>
      <c r="C2" s="4" t="s">
        <v>9</v>
      </c>
      <c r="E2" s="4" t="s">
        <v>41</v>
      </c>
      <c r="F2" s="4">
        <f>'Riser Inputs and Outputs'!D14</f>
        <v>3</v>
      </c>
      <c r="G2" s="4" t="s">
        <v>4</v>
      </c>
    </row>
    <row r="3" spans="1:7">
      <c r="A3" s="4"/>
      <c r="B3" s="4">
        <f>B2*PI()/180</f>
        <v>1.1693705988362006</v>
      </c>
      <c r="C3" s="4" t="s">
        <v>19</v>
      </c>
      <c r="E3" s="4" t="s">
        <v>87</v>
      </c>
      <c r="F3" s="4">
        <f>ACOS(1-F2/B6)*2</f>
        <v>1.4454684956268311</v>
      </c>
      <c r="G3" s="4" t="s">
        <v>29</v>
      </c>
    </row>
    <row r="4" spans="1:7">
      <c r="A4" s="4"/>
      <c r="B4" s="4"/>
      <c r="C4" s="4"/>
      <c r="E4" s="4"/>
      <c r="F4" s="4">
        <f>F3*180/PI()</f>
        <v>82.819244218541712</v>
      </c>
      <c r="G4" s="4" t="s">
        <v>9</v>
      </c>
    </row>
    <row r="5" spans="1:7">
      <c r="A5" s="4" t="s">
        <v>18</v>
      </c>
      <c r="B5" s="29">
        <f>'Riser Inputs and Outputs'!D4</f>
        <v>24</v>
      </c>
      <c r="C5" s="4" t="s">
        <v>4</v>
      </c>
      <c r="E5" s="4" t="s">
        <v>18</v>
      </c>
      <c r="F5" s="29">
        <f>'Riser Inputs and Outputs'!D4</f>
        <v>24</v>
      </c>
      <c r="G5" s="4" t="s">
        <v>4</v>
      </c>
    </row>
    <row r="6" spans="1:7">
      <c r="A6" s="4" t="s">
        <v>24</v>
      </c>
      <c r="B6" s="4">
        <f>B5/2</f>
        <v>12</v>
      </c>
      <c r="C6" s="4" t="s">
        <v>4</v>
      </c>
      <c r="E6" s="4" t="s">
        <v>24</v>
      </c>
      <c r="F6" s="4">
        <f>F5/2</f>
        <v>12</v>
      </c>
      <c r="G6" s="4" t="s">
        <v>4</v>
      </c>
    </row>
    <row r="7" spans="1:7">
      <c r="A7" s="4"/>
      <c r="B7" s="4"/>
      <c r="C7" s="4"/>
    </row>
    <row r="8" spans="1:7">
      <c r="A8" s="4" t="s">
        <v>33</v>
      </c>
      <c r="B8" s="4">
        <f>B6^2/2*(B3-SIN(B3))</f>
        <v>17.918333667630748</v>
      </c>
      <c r="C8" s="4" t="s">
        <v>34</v>
      </c>
      <c r="E8" s="4" t="s">
        <v>111</v>
      </c>
      <c r="F8" s="4">
        <f>F6^2/2*(F3-SIN(F3))</f>
        <v>32.638446286387897</v>
      </c>
      <c r="G8" s="4"/>
    </row>
    <row r="9" spans="1:7">
      <c r="A9" s="4"/>
      <c r="B9" s="4">
        <f>B8/144</f>
        <v>0.12443287269188019</v>
      </c>
      <c r="C9" s="4" t="s">
        <v>32</v>
      </c>
      <c r="E9" s="4"/>
      <c r="F9" s="4">
        <f>F8/144</f>
        <v>0.22665587698880485</v>
      </c>
      <c r="G9" s="4" t="s">
        <v>32</v>
      </c>
    </row>
    <row r="10" spans="1:7">
      <c r="A10" s="4"/>
      <c r="B10" s="4"/>
      <c r="C10" s="4"/>
      <c r="E10" s="4"/>
      <c r="F10" s="4"/>
      <c r="G10" s="4"/>
    </row>
    <row r="11" spans="1:7">
      <c r="A11" s="4" t="s">
        <v>41</v>
      </c>
      <c r="B11" s="4">
        <f>B6*(1-COS(B3/2))</f>
        <v>1.9933701351939814</v>
      </c>
      <c r="C11" s="4" t="s">
        <v>4</v>
      </c>
    </row>
    <row r="12" spans="1:7">
      <c r="A12" s="4"/>
      <c r="B12" s="4"/>
      <c r="C12" s="4"/>
    </row>
    <row r="13" spans="1:7">
      <c r="A13" s="4"/>
      <c r="B13" s="4">
        <v>4000</v>
      </c>
      <c r="C13" s="4" t="s">
        <v>7</v>
      </c>
    </row>
    <row r="14" spans="1:7">
      <c r="A14" s="4" t="s">
        <v>45</v>
      </c>
      <c r="B14" s="4">
        <f>B13*SIN(B3)</f>
        <v>3682.0194138097609</v>
      </c>
      <c r="C14" s="4" t="s">
        <v>7</v>
      </c>
    </row>
    <row r="15" spans="1:7">
      <c r="A15" s="4"/>
      <c r="B15" s="4">
        <f>B14/2.2/B8</f>
        <v>93.404064191458019</v>
      </c>
      <c r="C15" s="4" t="s">
        <v>4</v>
      </c>
    </row>
    <row r="16" spans="1:7">
      <c r="A16" s="4"/>
      <c r="B16" s="4">
        <f>B15/12</f>
        <v>7.7836720159548349</v>
      </c>
      <c r="C16" s="4" t="s">
        <v>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D4F-8714-4AD8-8C6E-F6E813A11D0E}">
  <dimension ref="A1"/>
  <sheetViews>
    <sheetView workbookViewId="0">
      <selection activeCell="C17" sqref="C17"/>
    </sheetView>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C2A5B-169A-44E5-AFCE-551E42A2C842}">
  <dimension ref="A1:Q342"/>
  <sheetViews>
    <sheetView topLeftCell="A22" zoomScaleNormal="55" workbookViewId="0">
      <selection activeCell="B31" sqref="B31"/>
    </sheetView>
  </sheetViews>
  <sheetFormatPr defaultRowHeight="15"/>
  <cols>
    <col min="1" max="1" width="40.5703125" style="240" customWidth="1"/>
    <col min="2" max="2" width="35.7109375" style="64" bestFit="1" customWidth="1"/>
    <col min="3" max="3" width="13.85546875" style="64" customWidth="1"/>
    <col min="4" max="4" width="18" style="64" customWidth="1"/>
    <col min="5" max="5" width="13.5703125" bestFit="1" customWidth="1"/>
    <col min="6" max="6" width="11.42578125" style="9" bestFit="1" customWidth="1"/>
    <col min="7" max="7" width="4.42578125" bestFit="1" customWidth="1"/>
    <col min="8" max="8" width="16.5703125" bestFit="1" customWidth="1"/>
    <col min="9" max="9" width="11.140625" bestFit="1" customWidth="1"/>
  </cols>
  <sheetData>
    <row r="1" spans="1:17" ht="69" customHeight="1">
      <c r="A1" s="85" t="s">
        <v>0</v>
      </c>
      <c r="B1" s="93"/>
      <c r="C1" s="92"/>
      <c r="D1" s="93"/>
      <c r="E1" s="32"/>
      <c r="F1" s="33"/>
      <c r="G1" s="32"/>
      <c r="H1" s="34"/>
    </row>
    <row r="2" spans="1:17" ht="23.45" customHeight="1">
      <c r="A2" s="292" t="s">
        <v>217</v>
      </c>
      <c r="B2" s="293"/>
      <c r="C2" s="293"/>
      <c r="D2" s="293"/>
      <c r="E2" s="293"/>
      <c r="F2" s="293"/>
      <c r="G2" s="293"/>
      <c r="H2" s="294"/>
      <c r="J2" s="40" t="s">
        <v>13</v>
      </c>
      <c r="K2" s="27"/>
      <c r="L2" s="27"/>
      <c r="M2" s="27"/>
      <c r="N2" s="25" t="s">
        <v>78</v>
      </c>
      <c r="O2" s="5"/>
      <c r="P2" s="5"/>
      <c r="Q2" s="5"/>
    </row>
    <row r="3" spans="1:17" ht="30">
      <c r="A3" s="68" t="s">
        <v>1</v>
      </c>
      <c r="B3" s="215" t="s">
        <v>240</v>
      </c>
      <c r="C3" s="68" t="s">
        <v>2</v>
      </c>
      <c r="D3" s="68" t="s">
        <v>2</v>
      </c>
      <c r="E3" s="69"/>
      <c r="F3" s="70"/>
      <c r="G3" s="69"/>
      <c r="H3" s="86"/>
      <c r="J3" s="41">
        <v>1</v>
      </c>
      <c r="K3" s="28" t="s">
        <v>5</v>
      </c>
      <c r="L3" s="28">
        <f>J3*12</f>
        <v>12</v>
      </c>
      <c r="M3" s="28" t="s">
        <v>4</v>
      </c>
      <c r="N3" s="5" t="s">
        <v>79</v>
      </c>
      <c r="O3" s="5"/>
      <c r="P3" s="5">
        <v>8.34</v>
      </c>
      <c r="Q3" s="5" t="s">
        <v>77</v>
      </c>
    </row>
    <row r="4" spans="1:17">
      <c r="A4" s="68" t="s">
        <v>170</v>
      </c>
      <c r="B4" s="215" t="s">
        <v>241</v>
      </c>
      <c r="C4" s="216" t="s">
        <v>18</v>
      </c>
      <c r="D4" s="71">
        <f>'Riser Inputs and Outputs'!D4</f>
        <v>24</v>
      </c>
      <c r="E4" s="69" t="s">
        <v>4</v>
      </c>
      <c r="F4" s="70">
        <f>D4/12</f>
        <v>2</v>
      </c>
      <c r="G4" s="69" t="s">
        <v>5</v>
      </c>
      <c r="H4" s="86"/>
      <c r="J4" s="41">
        <v>6</v>
      </c>
      <c r="K4" s="28" t="s">
        <v>4</v>
      </c>
      <c r="L4" s="28">
        <f>J4/12</f>
        <v>0.5</v>
      </c>
      <c r="M4" s="28" t="s">
        <v>5</v>
      </c>
      <c r="N4" s="5"/>
      <c r="O4" s="5"/>
      <c r="P4" s="5">
        <v>62.4</v>
      </c>
      <c r="Q4" s="5" t="s">
        <v>76</v>
      </c>
    </row>
    <row r="5" spans="1:17">
      <c r="A5" s="68" t="s">
        <v>20</v>
      </c>
      <c r="B5" s="215" t="s">
        <v>139</v>
      </c>
      <c r="C5" s="216" t="s">
        <v>21</v>
      </c>
      <c r="D5" s="217">
        <f>D4/2</f>
        <v>12</v>
      </c>
      <c r="E5" s="69" t="s">
        <v>4</v>
      </c>
      <c r="F5" s="70">
        <f>F4/2</f>
        <v>1</v>
      </c>
      <c r="G5" s="69" t="s">
        <v>5</v>
      </c>
      <c r="H5" s="86"/>
      <c r="N5" s="5" t="s">
        <v>80</v>
      </c>
      <c r="O5" s="5"/>
      <c r="P5" s="5">
        <v>32.200000000000003</v>
      </c>
      <c r="Q5" s="5" t="s">
        <v>81</v>
      </c>
    </row>
    <row r="6" spans="1:17">
      <c r="A6" s="68"/>
      <c r="B6" s="215"/>
      <c r="C6" s="216"/>
      <c r="D6" s="71"/>
      <c r="E6" s="69"/>
      <c r="F6" s="70"/>
      <c r="G6" s="69"/>
      <c r="H6" s="86"/>
    </row>
    <row r="7" spans="1:17" ht="30">
      <c r="A7" s="267" t="s">
        <v>242</v>
      </c>
      <c r="B7" s="268" t="s">
        <v>272</v>
      </c>
      <c r="C7" s="269" t="s">
        <v>63</v>
      </c>
      <c r="D7" s="270">
        <v>1</v>
      </c>
      <c r="E7" s="271" t="s">
        <v>4</v>
      </c>
      <c r="F7" s="272">
        <f>D7/12</f>
        <v>8.3333333333333329E-2</v>
      </c>
      <c r="G7" s="271" t="s">
        <v>5</v>
      </c>
      <c r="H7" s="273"/>
    </row>
    <row r="8" spans="1:17">
      <c r="A8" s="68" t="s">
        <v>195</v>
      </c>
      <c r="B8" s="215" t="s">
        <v>147</v>
      </c>
      <c r="C8" s="216" t="s">
        <v>36</v>
      </c>
      <c r="D8" s="218">
        <f>'Riser Inputs and Outputs'!D8</f>
        <v>0.01</v>
      </c>
      <c r="E8" s="66" t="s">
        <v>50</v>
      </c>
      <c r="F8" s="219" t="s">
        <v>118</v>
      </c>
      <c r="G8" s="69"/>
      <c r="H8" s="86"/>
    </row>
    <row r="9" spans="1:17">
      <c r="A9" s="68"/>
      <c r="B9" s="215"/>
      <c r="C9" s="216"/>
      <c r="D9" s="168">
        <f>D8</f>
        <v>0.01</v>
      </c>
      <c r="E9" s="66" t="s">
        <v>51</v>
      </c>
      <c r="F9" s="220"/>
      <c r="G9" s="219"/>
      <c r="H9" s="221"/>
    </row>
    <row r="10" spans="1:17" ht="30">
      <c r="A10" s="68" t="s">
        <v>231</v>
      </c>
      <c r="B10" s="215" t="s">
        <v>230</v>
      </c>
      <c r="C10" s="216" t="s">
        <v>16</v>
      </c>
      <c r="D10" s="222">
        <f>'Riser Inputs and Outputs'!D10</f>
        <v>1.0999999999999999E-2</v>
      </c>
      <c r="E10" s="66"/>
      <c r="F10" s="220"/>
      <c r="G10" s="219"/>
      <c r="H10" s="221"/>
    </row>
    <row r="11" spans="1:17" ht="15.75" thickBot="1">
      <c r="A11" s="223"/>
      <c r="B11" s="224"/>
      <c r="C11" s="225"/>
      <c r="D11" s="226"/>
      <c r="E11" s="227"/>
      <c r="F11" s="228"/>
      <c r="G11" s="227"/>
      <c r="H11" s="229"/>
    </row>
    <row r="13" spans="1:17" ht="18.75">
      <c r="A13" s="292" t="s">
        <v>243</v>
      </c>
      <c r="B13" s="293"/>
      <c r="C13" s="293"/>
      <c r="D13" s="293"/>
      <c r="E13" s="293"/>
      <c r="F13" s="293"/>
      <c r="G13" s="293"/>
      <c r="H13" s="294"/>
    </row>
    <row r="14" spans="1:17">
      <c r="A14" s="230" t="s">
        <v>244</v>
      </c>
      <c r="B14" s="106" t="s">
        <v>245</v>
      </c>
      <c r="C14" s="164" t="s">
        <v>23</v>
      </c>
      <c r="D14" s="231">
        <f>'Riser Inputs and Outputs'!D14</f>
        <v>3</v>
      </c>
      <c r="E14" s="2" t="s">
        <v>4</v>
      </c>
      <c r="F14" s="24">
        <f>D14/12</f>
        <v>0.25</v>
      </c>
      <c r="G14" s="23" t="s">
        <v>5</v>
      </c>
      <c r="H14" s="87" t="s">
        <v>246</v>
      </c>
    </row>
    <row r="15" spans="1:17" hidden="1">
      <c r="A15" s="230" t="s">
        <v>142</v>
      </c>
      <c r="B15" s="106" t="s">
        <v>15</v>
      </c>
      <c r="C15" s="164" t="s">
        <v>65</v>
      </c>
      <c r="D15" s="231">
        <v>0</v>
      </c>
      <c r="E15" s="2" t="s">
        <v>7</v>
      </c>
      <c r="F15" s="24"/>
      <c r="G15" s="23"/>
      <c r="H15" s="87"/>
    </row>
    <row r="16" spans="1:17" ht="30" hidden="1">
      <c r="A16" s="230" t="s">
        <v>144</v>
      </c>
      <c r="B16" s="106" t="s">
        <v>14</v>
      </c>
      <c r="C16" s="164" t="s">
        <v>66</v>
      </c>
      <c r="D16" s="231">
        <v>0</v>
      </c>
      <c r="E16" s="2" t="s">
        <v>7</v>
      </c>
      <c r="F16" s="24"/>
      <c r="G16" s="23"/>
      <c r="H16" s="87"/>
    </row>
    <row r="17" spans="1:10" hidden="1">
      <c r="A17" s="230" t="s">
        <v>145</v>
      </c>
      <c r="B17" s="106" t="s">
        <v>247</v>
      </c>
      <c r="C17" s="165" t="s">
        <v>67</v>
      </c>
      <c r="D17" s="231">
        <v>0</v>
      </c>
      <c r="E17" s="2" t="s">
        <v>9</v>
      </c>
      <c r="F17" s="24"/>
      <c r="G17" s="23"/>
      <c r="H17" s="87"/>
    </row>
    <row r="18" spans="1:10" ht="30" hidden="1">
      <c r="A18" s="230" t="s">
        <v>146</v>
      </c>
      <c r="B18" s="106" t="s">
        <v>10</v>
      </c>
      <c r="C18" s="164" t="s">
        <v>68</v>
      </c>
      <c r="D18" s="232" t="s">
        <v>108</v>
      </c>
      <c r="E18" s="106" t="s">
        <v>11</v>
      </c>
      <c r="F18" s="107"/>
      <c r="G18" s="108"/>
      <c r="H18" s="131"/>
    </row>
    <row r="19" spans="1:10">
      <c r="A19" s="230" t="s">
        <v>248</v>
      </c>
      <c r="B19" s="233" t="s">
        <v>249</v>
      </c>
      <c r="C19" s="164" t="s">
        <v>250</v>
      </c>
      <c r="D19" s="231">
        <f>'Riser Inputs and Outputs'!D19</f>
        <v>24</v>
      </c>
      <c r="E19" s="106" t="s">
        <v>4</v>
      </c>
      <c r="F19" s="24">
        <f t="shared" ref="F19:F20" si="0">D19/12</f>
        <v>2</v>
      </c>
      <c r="G19" s="23" t="s">
        <v>5</v>
      </c>
      <c r="H19" s="87"/>
    </row>
    <row r="20" spans="1:10" ht="30">
      <c r="A20" s="230" t="s">
        <v>251</v>
      </c>
      <c r="B20" s="234" t="s">
        <v>252</v>
      </c>
      <c r="C20" s="164" t="s">
        <v>26</v>
      </c>
      <c r="D20" s="231">
        <f>'Riser Inputs and Outputs'!D20</f>
        <v>48</v>
      </c>
      <c r="E20" s="105" t="s">
        <v>4</v>
      </c>
      <c r="F20" s="24">
        <f t="shared" si="0"/>
        <v>4</v>
      </c>
      <c r="G20" s="23" t="s">
        <v>5</v>
      </c>
      <c r="H20" s="87"/>
    </row>
    <row r="21" spans="1:10">
      <c r="A21" s="235" t="s">
        <v>120</v>
      </c>
      <c r="B21" s="236">
        <v>0.7</v>
      </c>
      <c r="F21" s="36"/>
      <c r="H21" s="37"/>
    </row>
    <row r="22" spans="1:10">
      <c r="A22" s="237"/>
      <c r="F22" s="36"/>
      <c r="H22" s="37"/>
    </row>
    <row r="23" spans="1:10" ht="15.75" thickBot="1">
      <c r="A23" s="238"/>
      <c r="B23" s="239"/>
      <c r="C23" s="239"/>
      <c r="D23" s="239"/>
      <c r="E23" s="38"/>
      <c r="F23" s="38"/>
      <c r="G23" s="38"/>
      <c r="H23" s="39"/>
    </row>
    <row r="24" spans="1:10" ht="15.75" thickBot="1">
      <c r="F24" s="36"/>
    </row>
    <row r="25" spans="1:10">
      <c r="A25" s="241"/>
      <c r="B25" s="242"/>
      <c r="C25" s="242"/>
      <c r="D25" s="242"/>
      <c r="E25" s="243"/>
      <c r="F25" s="36"/>
    </row>
    <row r="26" spans="1:10" ht="49.5" customHeight="1">
      <c r="A26" s="298" t="s">
        <v>220</v>
      </c>
      <c r="B26" s="299"/>
      <c r="C26" s="244"/>
      <c r="D26" s="245">
        <f>D7</f>
        <v>1</v>
      </c>
      <c r="E26" s="246" t="s">
        <v>4</v>
      </c>
      <c r="F26" s="36"/>
    </row>
    <row r="27" spans="1:10">
      <c r="A27" s="247" t="s">
        <v>253</v>
      </c>
      <c r="B27" s="69" t="s">
        <v>253</v>
      </c>
      <c r="C27" s="161" t="s">
        <v>54</v>
      </c>
      <c r="D27" s="70">
        <f>'Data TabBox - Lower Orifice'!B46</f>
        <v>2.5103931764327223E-2</v>
      </c>
      <c r="E27" s="86" t="s">
        <v>55</v>
      </c>
      <c r="F27" s="36"/>
    </row>
    <row r="28" spans="1:10">
      <c r="A28" s="247"/>
      <c r="B28" s="69"/>
      <c r="C28" s="161"/>
      <c r="D28" s="70">
        <f>D27*7.48*60</f>
        <v>11.266644575830057</v>
      </c>
      <c r="E28" s="86" t="s">
        <v>56</v>
      </c>
      <c r="F28" s="36"/>
    </row>
    <row r="29" spans="1:10">
      <c r="A29" s="247" t="s">
        <v>254</v>
      </c>
      <c r="B29" s="69" t="s">
        <v>255</v>
      </c>
      <c r="C29" s="161" t="s">
        <v>58</v>
      </c>
      <c r="D29" s="70">
        <f>'Data TabBox - Lower Orifice'!B47</f>
        <v>1.7526667621500327</v>
      </c>
      <c r="E29" s="86" t="s">
        <v>59</v>
      </c>
      <c r="F29" s="36"/>
      <c r="J29" s="11"/>
    </row>
    <row r="30" spans="1:10">
      <c r="A30" s="247"/>
      <c r="B30" s="69"/>
      <c r="C30" s="161"/>
      <c r="D30" s="70"/>
      <c r="E30" s="86"/>
      <c r="F30" s="36"/>
    </row>
    <row r="31" spans="1:10">
      <c r="A31" s="247" t="s">
        <v>256</v>
      </c>
      <c r="B31" s="69" t="s">
        <v>256</v>
      </c>
      <c r="C31" s="161" t="s">
        <v>54</v>
      </c>
      <c r="D31" s="70">
        <f>'Date TabBox - Upper Orifice'!B46</f>
        <v>0</v>
      </c>
      <c r="E31" s="86" t="s">
        <v>55</v>
      </c>
      <c r="F31" s="36"/>
    </row>
    <row r="32" spans="1:10" hidden="1">
      <c r="A32" s="247"/>
      <c r="B32" s="69"/>
      <c r="C32" s="161"/>
      <c r="D32" s="70">
        <f>D31*7.48*60</f>
        <v>0</v>
      </c>
      <c r="E32" s="86" t="s">
        <v>56</v>
      </c>
      <c r="F32" s="36"/>
    </row>
    <row r="33" spans="1:11" hidden="1">
      <c r="A33" s="247"/>
      <c r="B33" s="69" t="s">
        <v>151</v>
      </c>
      <c r="C33" s="161"/>
      <c r="D33" s="168">
        <f>((D32*4)/PI())^0.5*12</f>
        <v>0</v>
      </c>
      <c r="E33" s="86" t="s">
        <v>4</v>
      </c>
      <c r="F33" s="36"/>
    </row>
    <row r="34" spans="1:11" hidden="1">
      <c r="A34" s="247"/>
      <c r="B34" s="69"/>
      <c r="C34" s="161"/>
      <c r="D34" s="168"/>
      <c r="E34" s="86"/>
      <c r="F34" s="36"/>
    </row>
    <row r="35" spans="1:11" hidden="1">
      <c r="A35" s="247" t="s">
        <v>257</v>
      </c>
      <c r="B35" s="69" t="s">
        <v>119</v>
      </c>
      <c r="C35" s="161" t="s">
        <v>33</v>
      </c>
      <c r="D35" s="168">
        <f>'Data TabBox - Lower Orifice'!B49</f>
        <v>1.4323277137709686E-2</v>
      </c>
      <c r="E35" s="86" t="s">
        <v>32</v>
      </c>
      <c r="F35" s="36"/>
    </row>
    <row r="36" spans="1:11" hidden="1">
      <c r="A36" s="247"/>
      <c r="B36" s="69"/>
      <c r="C36" s="161"/>
      <c r="D36" s="168"/>
      <c r="E36" s="86"/>
      <c r="F36" s="36"/>
    </row>
    <row r="37" spans="1:11" hidden="1">
      <c r="A37" s="247" t="s">
        <v>258</v>
      </c>
      <c r="B37" s="69"/>
      <c r="C37" s="161"/>
      <c r="D37" s="168">
        <f>'Data TabBox - Lower Orifice'!S28</f>
        <v>0.9992897111493434</v>
      </c>
      <c r="E37" s="86" t="s">
        <v>4</v>
      </c>
      <c r="F37" s="36"/>
    </row>
    <row r="38" spans="1:11" hidden="1">
      <c r="A38" s="247" t="s">
        <v>259</v>
      </c>
      <c r="B38" s="69"/>
      <c r="C38" s="161" t="s">
        <v>26</v>
      </c>
      <c r="D38" s="168">
        <f>'Data TabBox - Lower Orifice'!S9</f>
        <v>0.35205736677764821</v>
      </c>
      <c r="E38" s="86" t="s">
        <v>37</v>
      </c>
      <c r="F38" s="36"/>
    </row>
    <row r="39" spans="1:11" hidden="1">
      <c r="A39" s="247"/>
      <c r="B39" s="69"/>
      <c r="C39" s="161"/>
      <c r="D39" s="248">
        <f>D38*12</f>
        <v>4.2246884013317789</v>
      </c>
      <c r="E39" s="86" t="s">
        <v>4</v>
      </c>
      <c r="F39" s="36"/>
    </row>
    <row r="40" spans="1:11">
      <c r="A40" s="247"/>
      <c r="B40" s="69"/>
      <c r="C40" s="161"/>
      <c r="D40" s="70">
        <f>D31*7.48*60</f>
        <v>0</v>
      </c>
      <c r="E40" s="86" t="s">
        <v>56</v>
      </c>
      <c r="F40" s="48"/>
      <c r="G40" s="46"/>
      <c r="J40" s="50"/>
      <c r="K40" s="44"/>
    </row>
    <row r="41" spans="1:11" hidden="1">
      <c r="A41" s="249" t="s">
        <v>69</v>
      </c>
      <c r="B41" s="250"/>
      <c r="C41" s="251"/>
      <c r="D41" s="250"/>
      <c r="E41" s="252"/>
      <c r="F41" s="36"/>
    </row>
    <row r="42" spans="1:11" hidden="1">
      <c r="A42" s="253" t="s">
        <v>152</v>
      </c>
      <c r="B42" s="254" t="s">
        <v>84</v>
      </c>
      <c r="C42" s="255"/>
      <c r="D42" s="133">
        <f>IF('Data Table Box - Static Force'!B11&lt;0,0,'Data Table Box - Static Force'!B11)</f>
        <v>0</v>
      </c>
      <c r="E42" s="134" t="s">
        <v>82</v>
      </c>
      <c r="F42" s="36"/>
    </row>
    <row r="43" spans="1:11" ht="30" hidden="1">
      <c r="A43" s="253" t="s">
        <v>260</v>
      </c>
      <c r="B43" s="254" t="s">
        <v>83</v>
      </c>
      <c r="C43" s="255"/>
      <c r="D43" s="133">
        <f>'Data Table Box - Static Force'!B13</f>
        <v>0</v>
      </c>
      <c r="E43" s="134" t="s">
        <v>82</v>
      </c>
      <c r="F43" s="36"/>
    </row>
    <row r="44" spans="1:11" hidden="1">
      <c r="A44" s="253" t="s">
        <v>261</v>
      </c>
      <c r="B44" s="88" t="s">
        <v>85</v>
      </c>
      <c r="C44" s="138"/>
      <c r="D44" s="254" t="str">
        <f>IF(D42&gt;D43,"Open","Closed")</f>
        <v>Closed</v>
      </c>
      <c r="E44" s="134"/>
      <c r="F44" s="36"/>
    </row>
    <row r="45" spans="1:11" ht="30" hidden="1">
      <c r="A45" s="253" t="s">
        <v>262</v>
      </c>
      <c r="B45" s="254" t="s">
        <v>90</v>
      </c>
      <c r="C45" s="256"/>
      <c r="D45" s="135">
        <f>IF(D42&lt;D43,"None",D42-D43)</f>
        <v>0</v>
      </c>
      <c r="E45" s="134" t="s">
        <v>82</v>
      </c>
      <c r="F45" s="36"/>
    </row>
    <row r="46" spans="1:11" hidden="1">
      <c r="A46" s="253"/>
      <c r="B46" s="254"/>
      <c r="C46" s="256"/>
      <c r="D46" s="135"/>
      <c r="E46" s="134"/>
      <c r="F46" s="36"/>
    </row>
    <row r="47" spans="1:11" hidden="1">
      <c r="A47" s="253" t="s">
        <v>153</v>
      </c>
      <c r="B47" s="254" t="s">
        <v>107</v>
      </c>
      <c r="C47" s="256"/>
      <c r="D47" s="135">
        <f>IFERROR(IF(D42&gt;D43,'Data TablBox - Angle of Opening'!C18,0),"Fully Open")</f>
        <v>0</v>
      </c>
      <c r="E47" s="134" t="s">
        <v>9</v>
      </c>
      <c r="F47" s="36"/>
    </row>
    <row r="48" spans="1:11" hidden="1">
      <c r="A48" s="253"/>
      <c r="B48" s="254"/>
      <c r="C48" s="256"/>
      <c r="D48" s="135"/>
      <c r="E48" s="134"/>
      <c r="F48" s="36"/>
    </row>
    <row r="49" spans="1:11" ht="30">
      <c r="A49" s="247" t="s">
        <v>263</v>
      </c>
      <c r="B49" s="257" t="s">
        <v>278</v>
      </c>
      <c r="C49" s="161" t="s">
        <v>54</v>
      </c>
      <c r="D49" s="70">
        <f>D27+D31</f>
        <v>2.5103931764327223E-2</v>
      </c>
      <c r="E49" s="86" t="s">
        <v>55</v>
      </c>
    </row>
    <row r="50" spans="1:11" s="64" customFormat="1" ht="15.75" thickBot="1">
      <c r="A50" s="258"/>
      <c r="B50" s="259"/>
      <c r="C50" s="260"/>
      <c r="D50" s="261">
        <f>D28+D40</f>
        <v>11.266644575830057</v>
      </c>
      <c r="E50" s="262" t="s">
        <v>56</v>
      </c>
      <c r="F50" s="60"/>
      <c r="G50" s="61"/>
      <c r="H50" s="62"/>
      <c r="I50" s="63"/>
    </row>
    <row r="51" spans="1:11">
      <c r="A51" s="53"/>
      <c r="B51" s="141"/>
      <c r="C51" s="141"/>
      <c r="D51" s="141"/>
      <c r="E51" s="48"/>
      <c r="F51" s="48"/>
      <c r="G51" s="46"/>
      <c r="J51" s="50"/>
      <c r="K51" s="44"/>
    </row>
    <row r="52" spans="1:11">
      <c r="A52" s="53"/>
      <c r="B52" s="141"/>
      <c r="C52" s="141"/>
      <c r="D52" s="141"/>
      <c r="E52" s="48"/>
      <c r="G52" s="46"/>
      <c r="I52" s="51"/>
      <c r="J52" s="44"/>
      <c r="K52" s="44"/>
    </row>
    <row r="53" spans="1:11" ht="23.25">
      <c r="A53" s="121" t="s">
        <v>222</v>
      </c>
      <c r="B53"/>
      <c r="C53"/>
      <c r="D53"/>
      <c r="G53" s="46"/>
      <c r="I53" s="51"/>
      <c r="J53" s="44"/>
      <c r="K53" s="44"/>
    </row>
    <row r="54" spans="1:11" ht="33.6" customHeight="1">
      <c r="A54" s="289" t="s">
        <v>280</v>
      </c>
      <c r="B54" s="289"/>
      <c r="C54" s="289"/>
      <c r="D54" s="289"/>
      <c r="E54" s="289"/>
      <c r="G54" s="46"/>
      <c r="I54" s="51"/>
      <c r="J54" s="44"/>
      <c r="K54" s="44"/>
    </row>
    <row r="55" spans="1:11">
      <c r="A55" s="53"/>
      <c r="B55" s="141"/>
      <c r="C55" s="141"/>
      <c r="D55" s="141"/>
      <c r="E55" s="48"/>
      <c r="G55" s="46"/>
      <c r="I55" s="51"/>
      <c r="J55" s="44"/>
      <c r="K55" s="44"/>
    </row>
    <row r="56" spans="1:11" ht="75">
      <c r="A56" s="182" t="s">
        <v>268</v>
      </c>
      <c r="B56" s="182" t="s">
        <v>269</v>
      </c>
      <c r="C56" s="182" t="s">
        <v>270</v>
      </c>
      <c r="D56" s="182" t="s">
        <v>279</v>
      </c>
      <c r="E56" s="182" t="s">
        <v>271</v>
      </c>
      <c r="G56" s="46"/>
      <c r="J56" s="44"/>
      <c r="K56" s="44"/>
    </row>
    <row r="57" spans="1:11">
      <c r="A57" s="266">
        <v>1</v>
      </c>
      <c r="B57" s="141">
        <f>D27</f>
        <v>2.5103931764327223E-2</v>
      </c>
      <c r="C57" s="142">
        <f>D29</f>
        <v>1.7526667621500327</v>
      </c>
      <c r="D57" s="141">
        <f>D31</f>
        <v>0</v>
      </c>
      <c r="E57" s="274">
        <f>D49</f>
        <v>2.5103931764327223E-2</v>
      </c>
      <c r="G57" s="46"/>
    </row>
    <row r="58" spans="1:11">
      <c r="A58" s="266">
        <v>2</v>
      </c>
      <c r="B58" s="142">
        <f t="dataTable" ref="B58:E200" dt2D="0" dtr="0" r1="D7"/>
        <v>8.2085637927227312E-2</v>
      </c>
      <c r="C58" s="142">
        <v>2.3612180053924487</v>
      </c>
      <c r="D58" s="142">
        <v>0</v>
      </c>
      <c r="E58" s="274">
        <v>8.2085637927227312E-2</v>
      </c>
    </row>
    <row r="59" spans="1:11">
      <c r="A59" s="266">
        <v>3</v>
      </c>
      <c r="B59" s="142">
        <v>0.10471691201233634</v>
      </c>
      <c r="C59" s="142">
        <v>2.8087363706834436</v>
      </c>
      <c r="D59" s="142">
        <v>0</v>
      </c>
      <c r="E59" s="274">
        <v>0.10471691201233634</v>
      </c>
    </row>
    <row r="60" spans="1:11">
      <c r="A60" s="266">
        <v>4</v>
      </c>
      <c r="B60" s="142">
        <v>0.15920263260772355</v>
      </c>
      <c r="C60" s="142">
        <v>3.2432493993935569</v>
      </c>
      <c r="D60" s="142">
        <v>0</v>
      </c>
      <c r="E60" s="274">
        <v>0.15920263260772355</v>
      </c>
    </row>
    <row r="61" spans="1:11">
      <c r="A61" s="266">
        <v>5</v>
      </c>
      <c r="B61" s="142">
        <v>0.17799395435389723</v>
      </c>
      <c r="C61" s="142">
        <v>3.626063062514679</v>
      </c>
      <c r="D61" s="142">
        <v>0</v>
      </c>
      <c r="E61" s="274">
        <v>0.17799395435389723</v>
      </c>
    </row>
    <row r="62" spans="1:11">
      <c r="A62" s="266">
        <v>6</v>
      </c>
      <c r="B62" s="142">
        <v>0.19498260779834878</v>
      </c>
      <c r="C62" s="142">
        <v>3.9721530685511102</v>
      </c>
      <c r="D62" s="142">
        <v>0</v>
      </c>
      <c r="E62" s="274">
        <v>0.19498260779834878</v>
      </c>
    </row>
    <row r="63" spans="1:11">
      <c r="A63" s="266">
        <v>7</v>
      </c>
      <c r="B63" s="142">
        <v>0.21060528697340947</v>
      </c>
      <c r="C63" s="142">
        <v>4.2904156752774751</v>
      </c>
      <c r="D63" s="142">
        <v>0</v>
      </c>
      <c r="E63" s="274">
        <v>0.21060528697340947</v>
      </c>
    </row>
    <row r="64" spans="1:11">
      <c r="A64" s="266">
        <v>8</v>
      </c>
      <c r="B64" s="142">
        <v>0.22514652219934378</v>
      </c>
      <c r="C64" s="142">
        <v>4.5866472867807628</v>
      </c>
      <c r="D64" s="142">
        <v>0</v>
      </c>
      <c r="E64" s="274">
        <v>0.22514652219934378</v>
      </c>
    </row>
    <row r="65" spans="1:5">
      <c r="A65" s="266">
        <v>9</v>
      </c>
      <c r="B65" s="142">
        <v>0.23880394891158532</v>
      </c>
      <c r="C65" s="142">
        <v>4.8648740990903354</v>
      </c>
      <c r="D65" s="142">
        <v>0</v>
      </c>
      <c r="E65" s="274">
        <v>0.23880394891158532</v>
      </c>
    </row>
    <row r="66" spans="1:5">
      <c r="A66" s="266">
        <v>10</v>
      </c>
      <c r="B66" s="142">
        <v>0.25172146426769909</v>
      </c>
      <c r="C66" s="142">
        <v>5.1280275610283796</v>
      </c>
      <c r="D66" s="142">
        <v>0</v>
      </c>
      <c r="E66" s="274">
        <v>0.25172146426769909</v>
      </c>
    </row>
    <row r="67" spans="1:5">
      <c r="A67" s="266">
        <v>11</v>
      </c>
      <c r="B67" s="142">
        <v>0.26400769899830945</v>
      </c>
      <c r="C67" s="142">
        <v>5.3783206796669667</v>
      </c>
      <c r="D67" s="142">
        <v>0</v>
      </c>
      <c r="E67" s="274">
        <v>0.26400769899830945</v>
      </c>
    </row>
    <row r="68" spans="1:5">
      <c r="A68" s="266">
        <v>12</v>
      </c>
      <c r="B68" s="142">
        <v>0.2757470483752989</v>
      </c>
      <c r="C68" s="142">
        <v>5.6174727413668872</v>
      </c>
      <c r="D68" s="142">
        <v>0</v>
      </c>
      <c r="E68" s="274">
        <v>0.2757470483752989</v>
      </c>
    </row>
    <row r="69" spans="1:5">
      <c r="A69" s="266">
        <v>13</v>
      </c>
      <c r="B69" s="142">
        <v>0.28700662752800121</v>
      </c>
      <c r="C69" s="142">
        <v>5.846851004315627</v>
      </c>
      <c r="D69" s="142">
        <v>0</v>
      </c>
      <c r="E69" s="274">
        <v>0.28700662752800121</v>
      </c>
    </row>
    <row r="70" spans="1:5">
      <c r="A70" s="266">
        <v>14</v>
      </c>
      <c r="B70" s="142">
        <v>0.29784085314527337</v>
      </c>
      <c r="C70" s="142">
        <v>6.0675640361955248</v>
      </c>
      <c r="D70" s="142">
        <v>0</v>
      </c>
      <c r="E70" s="274">
        <v>0.29784085314527337</v>
      </c>
    </row>
    <row r="71" spans="1:5">
      <c r="A71" s="266">
        <v>15</v>
      </c>
      <c r="B71" s="142">
        <v>0.30829457238104557</v>
      </c>
      <c r="C71" s="142">
        <v>6.2805254557242263</v>
      </c>
      <c r="D71" s="142">
        <v>0</v>
      </c>
      <c r="E71" s="274">
        <v>0.30829457238104557</v>
      </c>
    </row>
    <row r="72" spans="1:5">
      <c r="A72" s="266">
        <v>16</v>
      </c>
      <c r="B72" s="142">
        <v>0.3184052652154471</v>
      </c>
      <c r="C72" s="142">
        <v>6.4864987987871139</v>
      </c>
      <c r="D72" s="142">
        <v>0</v>
      </c>
      <c r="E72" s="274">
        <v>0.3184052652154471</v>
      </c>
    </row>
    <row r="73" spans="1:5">
      <c r="A73" s="266">
        <v>17</v>
      </c>
      <c r="B73" s="142">
        <v>0.32820463505902331</v>
      </c>
      <c r="C73" s="142">
        <v>6.6861299219603367</v>
      </c>
      <c r="D73" s="142">
        <v>0</v>
      </c>
      <c r="E73" s="274">
        <v>0.32820463505902331</v>
      </c>
    </row>
    <row r="74" spans="1:5">
      <c r="A74" s="266">
        <v>18</v>
      </c>
      <c r="B74" s="142">
        <v>0.33771978329901564</v>
      </c>
      <c r="C74" s="142">
        <v>6.8799709301711438</v>
      </c>
      <c r="D74" s="142">
        <v>0</v>
      </c>
      <c r="E74" s="274">
        <v>0.33771978329901564</v>
      </c>
    </row>
    <row r="75" spans="1:5">
      <c r="A75" s="266">
        <v>19</v>
      </c>
      <c r="B75" s="142">
        <v>0.34697409354135006</v>
      </c>
      <c r="C75" s="142">
        <v>7.0684981903277491</v>
      </c>
      <c r="D75" s="142">
        <v>0</v>
      </c>
      <c r="E75" s="274">
        <v>0.34697409354135006</v>
      </c>
    </row>
    <row r="76" spans="1:5">
      <c r="A76" s="266">
        <v>20</v>
      </c>
      <c r="B76" s="142">
        <v>0.35598790870779445</v>
      </c>
      <c r="C76" s="142">
        <v>7.2521261250293581</v>
      </c>
      <c r="D76" s="142">
        <v>0</v>
      </c>
      <c r="E76" s="274">
        <v>0.35598790870779445</v>
      </c>
    </row>
    <row r="77" spans="1:5">
      <c r="A77" s="266">
        <v>21</v>
      </c>
      <c r="B77" s="142">
        <v>0.36477905738056904</v>
      </c>
      <c r="C77" s="142">
        <v>7.4312179351705208</v>
      </c>
      <c r="D77" s="142">
        <v>0</v>
      </c>
      <c r="E77" s="274">
        <v>0.36477905738056904</v>
      </c>
    </row>
    <row r="78" spans="1:5">
      <c r="A78" s="266">
        <v>22</v>
      </c>
      <c r="B78" s="142">
        <v>0.373363268494323</v>
      </c>
      <c r="C78" s="142">
        <v>7.6060940479767059</v>
      </c>
      <c r="D78" s="142">
        <v>0</v>
      </c>
      <c r="E78" s="274">
        <v>0.373363268494323</v>
      </c>
    </row>
    <row r="79" spans="1:5">
      <c r="A79" s="266">
        <v>23</v>
      </c>
      <c r="B79" s="142">
        <v>0.38175450202724703</v>
      </c>
      <c r="C79" s="142">
        <v>7.7770388537883326</v>
      </c>
      <c r="D79" s="142">
        <v>0</v>
      </c>
      <c r="E79" s="274">
        <v>0.38175450202724703</v>
      </c>
    </row>
    <row r="80" spans="1:5">
      <c r="A80" s="266">
        <v>24</v>
      </c>
      <c r="B80" s="142">
        <v>0.38996521559669756</v>
      </c>
      <c r="C80" s="142">
        <v>7.9443061371022203</v>
      </c>
      <c r="D80" s="142">
        <v>0</v>
      </c>
      <c r="E80" s="274">
        <v>0.38996521559669756</v>
      </c>
    </row>
    <row r="81" spans="1:5">
      <c r="A81" s="266">
        <v>25</v>
      </c>
      <c r="B81" s="142">
        <v>0.39800658151930884</v>
      </c>
      <c r="C81" s="142">
        <v>8.1081234984838915</v>
      </c>
      <c r="D81" s="142">
        <v>0</v>
      </c>
      <c r="E81" s="274">
        <v>0.39800658151930884</v>
      </c>
    </row>
    <row r="82" spans="1:5">
      <c r="A82" s="266">
        <v>26</v>
      </c>
      <c r="B82" s="142">
        <v>0.40588866514106264</v>
      </c>
      <c r="C82" s="142">
        <v>8.268695987477912</v>
      </c>
      <c r="D82" s="142">
        <v>0</v>
      </c>
      <c r="E82" s="274">
        <v>0.40588866514106264</v>
      </c>
    </row>
    <row r="83" spans="1:5">
      <c r="A83" s="266">
        <v>27</v>
      </c>
      <c r="B83" s="142">
        <v>0.41362057256294826</v>
      </c>
      <c r="C83" s="142">
        <v>8.42620911205033</v>
      </c>
      <c r="D83" s="142">
        <v>0</v>
      </c>
      <c r="E83" s="274">
        <v>0.41362057256294826</v>
      </c>
    </row>
    <row r="84" spans="1:5">
      <c r="A84" s="266">
        <v>28</v>
      </c>
      <c r="B84" s="142">
        <v>0.42121057394681893</v>
      </c>
      <c r="C84" s="142">
        <v>8.5808313505549503</v>
      </c>
      <c r="D84" s="142">
        <v>0</v>
      </c>
      <c r="E84" s="274">
        <v>0.42121057394681893</v>
      </c>
    </row>
    <row r="85" spans="1:5">
      <c r="A85" s="266">
        <v>29</v>
      </c>
      <c r="B85" s="142">
        <v>0.4286662071611384</v>
      </c>
      <c r="C85" s="142">
        <v>8.7327162631871484</v>
      </c>
      <c r="D85" s="142">
        <v>0</v>
      </c>
      <c r="E85" s="274">
        <v>0.4286662071611384</v>
      </c>
    </row>
    <row r="86" spans="1:5">
      <c r="A86" s="266">
        <v>30</v>
      </c>
      <c r="B86" s="142">
        <v>0.43599436546728848</v>
      </c>
      <c r="C86" s="142">
        <v>8.882004278314664</v>
      </c>
      <c r="D86" s="142">
        <v>0</v>
      </c>
      <c r="E86" s="274">
        <v>0.43599436546728848</v>
      </c>
    </row>
    <row r="87" spans="1:5">
      <c r="A87" s="266">
        <v>31</v>
      </c>
      <c r="B87" s="142">
        <v>0.44320137215100203</v>
      </c>
      <c r="C87" s="142">
        <v>9.0288242128566605</v>
      </c>
      <c r="D87" s="142">
        <v>0</v>
      </c>
      <c r="E87" s="274">
        <v>0.44320137215100203</v>
      </c>
    </row>
    <row r="88" spans="1:5">
      <c r="A88" s="266">
        <v>32</v>
      </c>
      <c r="B88" s="142">
        <v>0.45029304439868756</v>
      </c>
      <c r="C88" s="142">
        <v>9.1732945735615257</v>
      </c>
      <c r="D88" s="142">
        <v>0</v>
      </c>
      <c r="E88" s="274">
        <v>0.45029304439868756</v>
      </c>
    </row>
    <row r="89" spans="1:5">
      <c r="A89" s="266">
        <v>33</v>
      </c>
      <c r="B89" s="142">
        <v>0.45727474825442294</v>
      </c>
      <c r="C89" s="142">
        <v>9.3155246765815622</v>
      </c>
      <c r="D89" s="142">
        <v>0</v>
      </c>
      <c r="E89" s="274">
        <v>0.45727474825442294</v>
      </c>
    </row>
    <row r="90" spans="1:5">
      <c r="A90" s="266">
        <v>34</v>
      </c>
      <c r="B90" s="142">
        <v>0.46415144613418297</v>
      </c>
      <c r="C90" s="142">
        <v>9.4556156154248718</v>
      </c>
      <c r="D90" s="142">
        <v>0</v>
      </c>
      <c r="E90" s="274">
        <v>0.46415144613418297</v>
      </c>
    </row>
    <row r="91" spans="1:5">
      <c r="A91" s="266">
        <v>35</v>
      </c>
      <c r="B91" s="142">
        <v>0.47092773809339444</v>
      </c>
      <c r="C91" s="142">
        <v>9.5936611016510955</v>
      </c>
      <c r="D91" s="142">
        <v>0</v>
      </c>
      <c r="E91" s="274">
        <v>0.47092773809339444</v>
      </c>
    </row>
    <row r="92" spans="1:5">
      <c r="A92" s="266">
        <v>36</v>
      </c>
      <c r="B92" s="142">
        <v>0.47760789782317065</v>
      </c>
      <c r="C92" s="142">
        <v>9.7297481981806708</v>
      </c>
      <c r="D92" s="142">
        <v>0</v>
      </c>
      <c r="E92" s="274">
        <v>0.47760789782317065</v>
      </c>
    </row>
    <row r="93" spans="1:5">
      <c r="A93" s="266">
        <v>37</v>
      </c>
      <c r="B93" s="142">
        <v>0.4841959041755472</v>
      </c>
      <c r="C93" s="142">
        <v>9.8639579615216668</v>
      </c>
      <c r="D93" s="142">
        <v>0</v>
      </c>
      <c r="E93" s="274">
        <v>0.4841959041755472</v>
      </c>
    </row>
    <row r="94" spans="1:5">
      <c r="A94" s="266">
        <v>38</v>
      </c>
      <c r="B94" s="142">
        <v>0.49069546887828819</v>
      </c>
      <c r="C94" s="142">
        <v>9.996366006371181</v>
      </c>
      <c r="D94" s="142">
        <v>0</v>
      </c>
      <c r="E94" s="274">
        <v>0.49069546887828819</v>
      </c>
    </row>
    <row r="95" spans="1:5">
      <c r="A95" s="266">
        <v>39</v>
      </c>
      <c r="B95" s="142">
        <v>0.49711006098749455</v>
      </c>
      <c r="C95" s="142">
        <v>10.127043003759784</v>
      </c>
      <c r="D95" s="142">
        <v>0</v>
      </c>
      <c r="E95" s="274">
        <v>0.49711006098749455</v>
      </c>
    </row>
    <row r="96" spans="1:5">
      <c r="A96" s="266">
        <v>40</v>
      </c>
      <c r="B96" s="142">
        <v>0.50344292853539818</v>
      </c>
      <c r="C96" s="142">
        <v>10.256055122056759</v>
      </c>
      <c r="D96" s="142">
        <v>0</v>
      </c>
      <c r="E96" s="274">
        <v>0.50344292853539818</v>
      </c>
    </row>
    <row r="97" spans="1:5">
      <c r="A97" s="266">
        <v>41</v>
      </c>
      <c r="B97" s="142">
        <v>0.50969711775681592</v>
      </c>
      <c r="C97" s="142">
        <v>10.383464418648208</v>
      </c>
      <c r="D97" s="142">
        <v>0</v>
      </c>
      <c r="E97" s="274">
        <v>0.50969711775681592</v>
      </c>
    </row>
    <row r="98" spans="1:5">
      <c r="A98" s="266">
        <v>42</v>
      </c>
      <c r="B98" s="142">
        <v>0.51587549021727419</v>
      </c>
      <c r="C98" s="142">
        <v>10.509329188868337</v>
      </c>
      <c r="D98" s="142">
        <v>0</v>
      </c>
      <c r="E98" s="274">
        <v>0.51587549021727419</v>
      </c>
    </row>
    <row r="99" spans="1:5">
      <c r="A99" s="266">
        <v>43</v>
      </c>
      <c r="B99" s="142">
        <v>0.52198073811609214</v>
      </c>
      <c r="C99" s="142">
        <v>10.633704277751317</v>
      </c>
      <c r="D99" s="142">
        <v>0</v>
      </c>
      <c r="E99" s="274">
        <v>0.52198073811609214</v>
      </c>
    </row>
    <row r="100" spans="1:5">
      <c r="A100" s="266">
        <v>44</v>
      </c>
      <c r="B100" s="142">
        <v>0.5280153979966189</v>
      </c>
      <c r="C100" s="142">
        <v>10.756641359333933</v>
      </c>
      <c r="D100" s="142">
        <v>0</v>
      </c>
      <c r="E100" s="274">
        <v>0.5280153979966189</v>
      </c>
    </row>
    <row r="101" spans="1:5">
      <c r="A101" s="266">
        <v>45</v>
      </c>
      <c r="B101" s="142">
        <v>0.53398186306169171</v>
      </c>
      <c r="C101" s="142">
        <v>10.878189187544038</v>
      </c>
      <c r="D101" s="142">
        <v>0</v>
      </c>
      <c r="E101" s="274">
        <v>0.53398186306169171</v>
      </c>
    </row>
    <row r="102" spans="1:5">
      <c r="A102" s="266">
        <v>46</v>
      </c>
      <c r="B102" s="142">
        <v>0.53988239426392004</v>
      </c>
      <c r="C102" s="142">
        <v>10.998393822129971</v>
      </c>
      <c r="D102" s="142">
        <v>0</v>
      </c>
      <c r="E102" s="274">
        <v>0.53988239426392004</v>
      </c>
    </row>
    <row r="103" spans="1:5">
      <c r="A103" s="266">
        <v>47</v>
      </c>
      <c r="B103" s="142">
        <v>0.54571913031654862</v>
      </c>
      <c r="C103" s="142">
        <v>11.117298832600181</v>
      </c>
      <c r="D103" s="142">
        <v>0</v>
      </c>
      <c r="E103" s="274">
        <v>0.54571913031654862</v>
      </c>
    </row>
    <row r="104" spans="1:5">
      <c r="A104" s="266">
        <v>48</v>
      </c>
      <c r="B104" s="142">
        <v>0.5514940967505978</v>
      </c>
      <c r="C104" s="142">
        <v>11.234945482733774</v>
      </c>
      <c r="D104" s="142">
        <v>0</v>
      </c>
      <c r="E104" s="274">
        <v>0.5514940967505978</v>
      </c>
    </row>
    <row r="105" spans="1:5">
      <c r="A105" s="266">
        <v>49</v>
      </c>
      <c r="B105" s="142">
        <v>0.5572092141270325</v>
      </c>
      <c r="C105" s="142">
        <v>11.35137289787745</v>
      </c>
      <c r="D105" s="142">
        <v>7.2631955635843307E-2</v>
      </c>
      <c r="E105" s="274">
        <v>0.62984116976287585</v>
      </c>
    </row>
    <row r="106" spans="1:5">
      <c r="A106" s="266">
        <v>50</v>
      </c>
      <c r="B106" s="142">
        <v>0.56286630549835948</v>
      </c>
      <c r="C106" s="142">
        <v>11.466618216951908</v>
      </c>
      <c r="D106" s="142">
        <v>0.28676455329435413</v>
      </c>
      <c r="E106" s="274">
        <v>0.84963085879271361</v>
      </c>
    </row>
    <row r="107" spans="1:5">
      <c r="A107" s="266">
        <v>51</v>
      </c>
      <c r="B107" s="142">
        <v>0.56846710320183003</v>
      </c>
      <c r="C107" s="142">
        <v>11.580716730841838</v>
      </c>
      <c r="D107" s="142">
        <v>0.63661660532760866</v>
      </c>
      <c r="E107" s="274">
        <v>1.2050837085294388</v>
      </c>
    </row>
    <row r="108" spans="1:5">
      <c r="A108" s="266">
        <v>52</v>
      </c>
      <c r="B108" s="142">
        <v>0.57401325505600242</v>
      </c>
      <c r="C108" s="142">
        <v>11.693702008631254</v>
      </c>
      <c r="D108" s="142">
        <v>1.1162118773283174</v>
      </c>
      <c r="E108" s="274">
        <v>1.6902251323843198</v>
      </c>
    </row>
    <row r="109" spans="1:5">
      <c r="A109" s="266">
        <v>53</v>
      </c>
      <c r="B109" s="142">
        <v>0.57950633002349072</v>
      </c>
      <c r="C109" s="142">
        <v>11.805606012964068</v>
      </c>
      <c r="D109" s="142">
        <v>1.7193603090165559</v>
      </c>
      <c r="E109" s="274">
        <v>2.2988666390400465</v>
      </c>
    </row>
    <row r="110" spans="1:5">
      <c r="A110" s="266">
        <v>54</v>
      </c>
      <c r="B110" s="142">
        <v>0.58494782339504636</v>
      </c>
      <c r="C110" s="142">
        <v>11.91645920565333</v>
      </c>
      <c r="D110" s="142">
        <v>2.4396362338219868</v>
      </c>
      <c r="E110" s="274">
        <v>3.0245840572170333</v>
      </c>
    </row>
    <row r="111" spans="1:5">
      <c r="A111" s="266">
        <v>55</v>
      </c>
      <c r="B111" s="142">
        <v>0.59033916154352306</v>
      </c>
      <c r="C111" s="142">
        <v>12.026290644528208</v>
      </c>
      <c r="D111" s="142">
        <v>3.2703529131323239</v>
      </c>
      <c r="E111" s="274">
        <v>3.8606920746758471</v>
      </c>
    </row>
    <row r="112" spans="1:5">
      <c r="A112" s="266">
        <v>56</v>
      </c>
      <c r="B112" s="142">
        <v>0.59568170629054673</v>
      </c>
      <c r="C112" s="142">
        <v>12.13512807239105</v>
      </c>
      <c r="D112" s="142">
        <v>4.2045324941750497</v>
      </c>
      <c r="E112" s="274">
        <v>4.8002142004655965</v>
      </c>
    </row>
    <row r="113" spans="1:5">
      <c r="A113" s="266">
        <v>57</v>
      </c>
      <c r="B113" s="142">
        <v>0.60097675892377456</v>
      </c>
      <c r="C113" s="142">
        <v>12.242997998856326</v>
      </c>
      <c r="D113" s="142">
        <v>5.2348702136302014</v>
      </c>
      <c r="E113" s="274">
        <v>5.8358469725539761</v>
      </c>
    </row>
    <row r="114" spans="1:5">
      <c r="A114" s="266">
        <v>58</v>
      </c>
      <c r="B114" s="142">
        <v>0.60622556389831672</v>
      </c>
      <c r="C114" s="142">
        <v>12.349925775755361</v>
      </c>
      <c r="D114" s="142">
        <v>6.3536912640371561</v>
      </c>
      <c r="E114" s="274">
        <v>6.9599168279354728</v>
      </c>
    </row>
    <row r="115" spans="1:5">
      <c r="A115" s="266">
        <v>59</v>
      </c>
      <c r="B115" s="142">
        <v>0.61142931225215191</v>
      </c>
      <c r="C115" s="142">
        <v>12.455935666714616</v>
      </c>
      <c r="D115" s="142">
        <v>7.5528981561030726</v>
      </c>
      <c r="E115" s="274">
        <v>8.1643274683552249</v>
      </c>
    </row>
    <row r="116" spans="1:5">
      <c r="A116" s="266">
        <v>60</v>
      </c>
      <c r="B116" s="142">
        <v>0.61658914476209115</v>
      </c>
      <c r="C116" s="142">
        <v>12.561050911448453</v>
      </c>
      <c r="D116" s="142">
        <v>8.8239055480095647</v>
      </c>
      <c r="E116" s="274">
        <v>9.4404946927716562</v>
      </c>
    </row>
    <row r="117" spans="1:5">
      <c r="A117" s="266">
        <v>61</v>
      </c>
      <c r="B117" s="142">
        <v>0.62170615486397951</v>
      </c>
      <c r="C117" s="142">
        <v>12.66529378524899</v>
      </c>
      <c r="D117" s="142">
        <v>10.157558205722053</v>
      </c>
      <c r="E117" s="274">
        <v>10.779264360586032</v>
      </c>
    </row>
    <row r="118" spans="1:5">
      <c r="A118" s="266">
        <v>62</v>
      </c>
      <c r="B118" s="142">
        <v>0.62678139135831235</v>
      </c>
      <c r="C118" s="142">
        <v>12.768685654104472</v>
      </c>
      <c r="D118" s="142">
        <v>11.544025714252124</v>
      </c>
      <c r="E118" s="274">
        <v>12.170807105610436</v>
      </c>
    </row>
    <row r="119" spans="1:5">
      <c r="A119" s="266">
        <v>63</v>
      </c>
      <c r="B119" s="142">
        <v>0.63181586092022846</v>
      </c>
      <c r="C119" s="142">
        <v>12.871247025832425</v>
      </c>
      <c r="D119" s="142">
        <v>12.972664246737905</v>
      </c>
      <c r="E119" s="274">
        <v>13.604480107658134</v>
      </c>
    </row>
    <row r="120" spans="1:5">
      <c r="A120" s="266">
        <v>64</v>
      </c>
      <c r="B120" s="142">
        <v>0.63681053043089419</v>
      </c>
      <c r="C120" s="142">
        <v>12.972997597574228</v>
      </c>
      <c r="D120" s="142">
        <v>14.431830097087882</v>
      </c>
      <c r="E120" s="274">
        <v>15.068640627518777</v>
      </c>
    </row>
    <row r="121" spans="1:5">
      <c r="A121" s="266">
        <v>65</v>
      </c>
      <c r="B121" s="142">
        <v>0.6417663291455733</v>
      </c>
      <c r="C121" s="142">
        <v>13.073956299962662</v>
      </c>
      <c r="D121" s="142">
        <v>15.90861972340309</v>
      </c>
      <c r="E121" s="274">
        <v>16.550386052548664</v>
      </c>
    </row>
    <row r="122" spans="1:5">
      <c r="A122" s="266">
        <v>66</v>
      </c>
      <c r="B122" s="142">
        <v>0.64668415071214769</v>
      </c>
      <c r="C122" s="142">
        <v>13.174141338242885</v>
      </c>
      <c r="D122" s="142">
        <v>17.388492222171333</v>
      </c>
      <c r="E122" s="274">
        <v>18.03517637288348</v>
      </c>
    </row>
    <row r="123" spans="1:5">
      <c r="A123" s="266">
        <v>67</v>
      </c>
      <c r="B123" s="142">
        <v>0.65156485505251061</v>
      </c>
      <c r="C123" s="142">
        <v>13.273570230599855</v>
      </c>
      <c r="D123" s="142">
        <v>18.854691719324091</v>
      </c>
      <c r="E123" s="274">
        <v>19.5062565743766</v>
      </c>
    </row>
    <row r="124" spans="1:5">
      <c r="A124" s="266">
        <v>68</v>
      </c>
      <c r="B124" s="142">
        <v>0.65640927011804662</v>
      </c>
      <c r="C124" s="142">
        <v>13.372259843920673</v>
      </c>
      <c r="D124" s="142">
        <v>20.287300522300068</v>
      </c>
      <c r="E124" s="274">
        <v>20.943709792418115</v>
      </c>
    </row>
    <row r="125" spans="1:5">
      <c r="A125" s="266">
        <v>69</v>
      </c>
      <c r="B125" s="142">
        <v>0.66121819352934774</v>
      </c>
      <c r="C125" s="142">
        <v>13.470226427198615</v>
      </c>
      <c r="D125" s="142">
        <v>21.661530454165408</v>
      </c>
      <c r="E125" s="274">
        <v>22.322748647694755</v>
      </c>
    </row>
    <row r="126" spans="1:5">
      <c r="A126" s="266">
        <v>70</v>
      </c>
      <c r="B126" s="142">
        <v>0.66599239410936328</v>
      </c>
      <c r="C126" s="142">
        <v>13.567485642766188</v>
      </c>
      <c r="D126" s="142">
        <v>22.944158757185424</v>
      </c>
      <c r="E126" s="274">
        <v>23.610151151294787</v>
      </c>
    </row>
    <row r="127" spans="1:5">
      <c r="A127" s="266">
        <v>71</v>
      </c>
      <c r="B127" s="142">
        <v>0.67073261331832446</v>
      </c>
      <c r="C127" s="142">
        <v>13.66405259552719</v>
      </c>
      <c r="D127" s="142">
        <v>24.08395750730558</v>
      </c>
      <c r="E127" s="274">
        <v>24.754690120623906</v>
      </c>
    </row>
    <row r="128" spans="1:5">
      <c r="A128" s="266">
        <v>72</v>
      </c>
      <c r="B128" s="142">
        <v>0.67543956659803128</v>
      </c>
      <c r="C128" s="142">
        <v>13.759941860342288</v>
      </c>
      <c r="D128" s="142">
        <v>24.957773798188644</v>
      </c>
      <c r="E128" s="274">
        <v>25.633213364786673</v>
      </c>
    </row>
    <row r="129" spans="1:5">
      <c r="A129" s="266">
        <v>73</v>
      </c>
      <c r="B129" s="142">
        <v>0.68011394463240049</v>
      </c>
      <c r="C129" s="142">
        <v>13.855167507708693</v>
      </c>
      <c r="D129" s="142">
        <v>25.472421217235766</v>
      </c>
      <c r="E129" s="274">
        <v>26.152535161868165</v>
      </c>
    </row>
    <row r="130" spans="1:5">
      <c r="A130" s="266">
        <v>74</v>
      </c>
      <c r="B130" s="142">
        <v>0.68475641453056235</v>
      </c>
      <c r="C130" s="142">
        <v>13.949743127862009</v>
      </c>
      <c r="D130" s="142">
        <v>25.976874569028013</v>
      </c>
      <c r="E130" s="274">
        <v>26.661630983558574</v>
      </c>
    </row>
    <row r="131" spans="1:5">
      <c r="A131" s="266">
        <v>75</v>
      </c>
      <c r="B131" s="142">
        <v>0.68936762093824722</v>
      </c>
      <c r="C131" s="142">
        <v>14.043681853417217</v>
      </c>
      <c r="D131" s="142">
        <v>26.471716644028689</v>
      </c>
      <c r="E131" s="274">
        <v>27.161084264966934</v>
      </c>
    </row>
    <row r="132" spans="1:5">
      <c r="A132" s="266">
        <v>76</v>
      </c>
      <c r="B132" s="142">
        <v>0.69394818708270012</v>
      </c>
      <c r="C132" s="142">
        <v>14.136996380655498</v>
      </c>
      <c r="D132" s="142">
        <v>26.957476732596412</v>
      </c>
      <c r="E132" s="274">
        <v>27.651424919679112</v>
      </c>
    </row>
    <row r="133" spans="1:5">
      <c r="A133" s="266">
        <v>77</v>
      </c>
      <c r="B133" s="142">
        <v>0.69849871575592293</v>
      </c>
      <c r="C133" s="142">
        <v>14.229698989554674</v>
      </c>
      <c r="D133" s="142">
        <v>27.434637258312861</v>
      </c>
      <c r="E133" s="274">
        <v>28.133135974068786</v>
      </c>
    </row>
    <row r="134" spans="1:5">
      <c r="A134" s="266">
        <v>78</v>
      </c>
      <c r="B134" s="142">
        <v>0.70301979024063133</v>
      </c>
      <c r="C134" s="142">
        <v>14.321801562652656</v>
      </c>
      <c r="D134" s="142">
        <v>27.903639389906463</v>
      </c>
      <c r="E134" s="274">
        <v>28.606659180147094</v>
      </c>
    </row>
    <row r="135" spans="1:5">
      <c r="A135" s="266">
        <v>79</v>
      </c>
      <c r="B135" s="142">
        <v>0.70751197518295661</v>
      </c>
      <c r="C135" s="142">
        <v>14.413315602825975</v>
      </c>
      <c r="D135" s="142">
        <v>28.364887817664126</v>
      </c>
      <c r="E135" s="274">
        <v>29.072399792847083</v>
      </c>
    </row>
    <row r="136" spans="1:5">
      <c r="A136" s="266">
        <v>80</v>
      </c>
      <c r="B136" s="142">
        <v>0.71197581741558891</v>
      </c>
      <c r="C136" s="142">
        <v>14.504252250058716</v>
      </c>
      <c r="D136" s="142">
        <v>28.818754841516007</v>
      </c>
      <c r="E136" s="274">
        <v>29.530730658931596</v>
      </c>
    </row>
    <row r="137" spans="1:5">
      <c r="A137" s="266">
        <v>81</v>
      </c>
      <c r="B137" s="142">
        <v>0.716411846734756</v>
      </c>
      <c r="C137" s="142">
        <v>14.594622297271007</v>
      </c>
      <c r="D137" s="142">
        <v>29.265583888283068</v>
      </c>
      <c r="E137" s="274">
        <v>29.981995735017826</v>
      </c>
    </row>
    <row r="138" spans="1:5">
      <c r="A138" s="266">
        <v>82</v>
      </c>
      <c r="B138" s="142">
        <v>0.72082057663416554</v>
      </c>
      <c r="C138" s="142">
        <v>14.684436205270758</v>
      </c>
      <c r="D138" s="142">
        <v>29.705692552587706</v>
      </c>
      <c r="E138" s="274">
        <v>30.42651312922187</v>
      </c>
    </row>
    <row r="139" spans="1:5">
      <c r="A139" s="266">
        <v>83</v>
      </c>
      <c r="B139" s="142">
        <v>0.72520250499878891</v>
      </c>
      <c r="C139" s="142">
        <v>14.773704116887322</v>
      </c>
      <c r="D139" s="142">
        <v>30.139375237977251</v>
      </c>
      <c r="E139" s="274">
        <v>30.864577742976039</v>
      </c>
    </row>
    <row r="140" spans="1:5">
      <c r="A140" s="266">
        <v>84</v>
      </c>
      <c r="B140" s="142">
        <v>0.72955811476113808</v>
      </c>
      <c r="C140" s="142">
        <v>14.862435870341042</v>
      </c>
      <c r="D140" s="142">
        <v>30.566905460682921</v>
      </c>
      <c r="E140" s="274">
        <v>31.296463575444058</v>
      </c>
    </row>
    <row r="141" spans="1:5">
      <c r="A141" s="266">
        <v>85</v>
      </c>
      <c r="B141" s="142">
        <v>0.73388787452248672</v>
      </c>
      <c r="C141" s="142">
        <v>14.950641011898675</v>
      </c>
      <c r="D141" s="142">
        <v>30.988537867235017</v>
      </c>
      <c r="E141" s="274">
        <v>31.722425741757505</v>
      </c>
    </row>
    <row r="142" spans="1:5">
      <c r="A142" s="266">
        <v>86</v>
      </c>
      <c r="B142" s="142">
        <v>0.73819223914129628</v>
      </c>
      <c r="C142" s="142">
        <v>15.038328807860712</v>
      </c>
      <c r="D142" s="142">
        <v>31.404510008210448</v>
      </c>
      <c r="E142" s="274">
        <v>32.142702247351743</v>
      </c>
    </row>
    <row r="143" spans="1:5">
      <c r="A143" s="266">
        <v>87</v>
      </c>
      <c r="B143" s="142">
        <v>0.74247165029093753</v>
      </c>
      <c r="C143" s="142">
        <v>15.125508255923172</v>
      </c>
      <c r="D143" s="142">
        <v>31.815043903199651</v>
      </c>
      <c r="E143" s="274">
        <v>32.557515553490589</v>
      </c>
    </row>
    <row r="144" spans="1:5">
      <c r="A144" s="266">
        <v>88</v>
      </c>
      <c r="B144" s="142">
        <v>0.74672653698864599</v>
      </c>
      <c r="C144" s="142">
        <v>15.212188095953412</v>
      </c>
      <c r="D144" s="142">
        <v>32.220347426265477</v>
      </c>
      <c r="E144" s="274">
        <v>32.967073963254123</v>
      </c>
    </row>
    <row r="145" spans="1:5">
      <c r="A145" s="266">
        <v>89</v>
      </c>
      <c r="B145" s="142">
        <v>0.75095731609750171</v>
      </c>
      <c r="C145" s="142">
        <v>15.298376820216365</v>
      </c>
      <c r="D145" s="142">
        <v>32.620615536436219</v>
      </c>
      <c r="E145" s="274">
        <v>33.371572852533724</v>
      </c>
    </row>
    <row r="146" spans="1:5">
      <c r="A146" s="266">
        <v>90</v>
      </c>
      <c r="B146" s="142">
        <v>0.75516439280309722</v>
      </c>
      <c r="C146" s="142">
        <v>15.384082683085138</v>
      </c>
      <c r="D146" s="142">
        <v>33.016031373905548</v>
      </c>
      <c r="E146" s="274">
        <v>33.771195766708644</v>
      </c>
    </row>
    <row r="147" spans="1:5">
      <c r="A147" s="266">
        <v>91</v>
      </c>
      <c r="B147" s="142">
        <v>0.75934816106643588</v>
      </c>
      <c r="C147" s="142">
        <v>15.469313710267389</v>
      </c>
      <c r="D147" s="142">
        <v>33.406767239429897</v>
      </c>
      <c r="E147" s="274">
        <v>34.166115400496331</v>
      </c>
    </row>
    <row r="148" spans="1:5">
      <c r="A148" s="266">
        <v>92</v>
      </c>
      <c r="B148" s="142">
        <v>0.76350900405449407</v>
      </c>
      <c r="C148" s="142">
        <v>15.554077707576665</v>
      </c>
      <c r="D148" s="142">
        <v>33.792985471783609</v>
      </c>
      <c r="E148" s="274">
        <v>34.5564944758381</v>
      </c>
    </row>
    <row r="149" spans="1:5">
      <c r="A149" s="266">
        <v>93</v>
      </c>
      <c r="B149" s="142">
        <v>0.76764729454977754</v>
      </c>
      <c r="C149" s="142">
        <v>15.638382269275811</v>
      </c>
      <c r="D149" s="142">
        <v>34.174839235948269</v>
      </c>
      <c r="E149" s="274">
        <v>34.942486530498044</v>
      </c>
    </row>
    <row r="150" spans="1:5">
      <c r="A150" s="266">
        <v>94</v>
      </c>
      <c r="B150" s="142">
        <v>0.77176339534011351</v>
      </c>
      <c r="C150" s="142">
        <v>15.722234786017752</v>
      </c>
      <c r="D150" s="142">
        <v>34.552473232890875</v>
      </c>
      <c r="E150" s="274">
        <v>35.324236628230992</v>
      </c>
    </row>
    <row r="151" spans="1:5">
      <c r="A151" s="266">
        <v>95</v>
      </c>
      <c r="B151" s="142">
        <v>0.77585765958982955</v>
      </c>
      <c r="C151" s="142">
        <v>15.805642452407096</v>
      </c>
      <c r="D151" s="142">
        <v>34.926024340259112</v>
      </c>
      <c r="E151" s="274">
        <v>35.701881999848943</v>
      </c>
    </row>
    <row r="152" spans="1:5">
      <c r="A152" s="266">
        <v>96</v>
      </c>
      <c r="B152" s="142">
        <v>0.77993043119339511</v>
      </c>
      <c r="C152" s="142">
        <v>15.888612274204441</v>
      </c>
      <c r="D152" s="142">
        <v>35.295622192038259</v>
      </c>
      <c r="E152" s="274">
        <v>36.075552623231651</v>
      </c>
    </row>
    <row r="153" spans="1:5">
      <c r="A153" s="266">
        <v>97</v>
      </c>
      <c r="B153" s="142">
        <v>0.78398204511252856</v>
      </c>
      <c r="C153" s="142">
        <v>15.971151075193882</v>
      </c>
      <c r="D153" s="142">
        <v>35.66138970413008</v>
      </c>
      <c r="E153" s="274">
        <v>36.445371749242611</v>
      </c>
    </row>
    <row r="154" spans="1:5">
      <c r="A154" s="266">
        <v>98</v>
      </c>
      <c r="B154" s="142">
        <v>0.7880128276977032</v>
      </c>
      <c r="C154" s="142">
        <v>16.053265503732671</v>
      </c>
      <c r="D154" s="142">
        <v>36.023443551895006</v>
      </c>
      <c r="E154" s="274">
        <v>36.811456379592713</v>
      </c>
    </row>
    <row r="155" spans="1:5">
      <c r="A155" s="266">
        <v>99</v>
      </c>
      <c r="B155" s="142">
        <v>0.79202309699492834</v>
      </c>
      <c r="C155" s="142">
        <v>16.1349620390009</v>
      </c>
      <c r="D155" s="142">
        <v>36.381894604917122</v>
      </c>
      <c r="E155" s="274">
        <v>37.173917701912053</v>
      </c>
    </row>
    <row r="156" spans="1:5">
      <c r="A156" s="266">
        <v>100</v>
      </c>
      <c r="B156" s="142">
        <v>0.79601316303861769</v>
      </c>
      <c r="C156" s="142">
        <v>16.216246996967783</v>
      </c>
      <c r="D156" s="142">
        <v>36.736848323584169</v>
      </c>
      <c r="E156" s="274">
        <v>37.532861486622785</v>
      </c>
    </row>
    <row r="157" spans="1:5">
      <c r="A157" s="266">
        <v>101</v>
      </c>
      <c r="B157" s="142">
        <v>0.79998332813131323</v>
      </c>
      <c r="C157" s="142">
        <v>16.297126536090136</v>
      </c>
      <c r="D157" s="142">
        <v>37.088405121503399</v>
      </c>
      <c r="E157" s="274">
        <v>37.888388449634711</v>
      </c>
    </row>
    <row r="158" spans="1:5">
      <c r="A158" s="266">
        <v>102</v>
      </c>
      <c r="B158" s="142">
        <v>0.8039338871109738</v>
      </c>
      <c r="C158" s="142">
        <v>16.377606662757536</v>
      </c>
      <c r="D158" s="142">
        <v>37.436660697282967</v>
      </c>
      <c r="E158" s="274">
        <v>38.240594584393939</v>
      </c>
    </row>
    <row r="159" spans="1:5">
      <c r="A159" s="266">
        <v>103</v>
      </c>
      <c r="B159" s="142">
        <v>0.80786512760650064</v>
      </c>
      <c r="C159" s="142">
        <v>16.457693236497839</v>
      </c>
      <c r="D159" s="142">
        <v>37.781706338785476</v>
      </c>
      <c r="E159" s="274">
        <v>38.589571466391973</v>
      </c>
    </row>
    <row r="160" spans="1:5">
      <c r="A160" s="266">
        <v>104</v>
      </c>
      <c r="B160" s="142">
        <v>0.81177733028212529</v>
      </c>
      <c r="C160" s="142">
        <v>16.537391974955824</v>
      </c>
      <c r="D160" s="142">
        <v>38.123629202594991</v>
      </c>
      <c r="E160" s="274">
        <v>38.935406532877117</v>
      </c>
    </row>
    <row r="161" spans="1:5">
      <c r="A161" s="266">
        <v>105</v>
      </c>
      <c r="B161" s="142">
        <v>0.81567076907124869</v>
      </c>
      <c r="C161" s="142">
        <v>16.616708458656909</v>
      </c>
      <c r="D161" s="142">
        <v>38.462512571121572</v>
      </c>
      <c r="E161" s="274">
        <v>39.278183340192818</v>
      </c>
    </row>
    <row r="162" spans="1:5">
      <c r="A162" s="266">
        <v>106</v>
      </c>
      <c r="B162" s="142">
        <v>0.81954571140027921</v>
      </c>
      <c r="C162" s="142">
        <v>16.695648135567144</v>
      </c>
      <c r="D162" s="142">
        <v>38.798436089492277</v>
      </c>
      <c r="E162" s="274">
        <v>39.617981800892558</v>
      </c>
    </row>
    <row r="163" spans="1:5">
      <c r="A163" s="266">
        <v>107</v>
      </c>
      <c r="B163" s="142">
        <v>0.82340241840299278</v>
      </c>
      <c r="C163" s="142">
        <v>16.774216325460134</v>
      </c>
      <c r="D163" s="142">
        <v>39.131475984137722</v>
      </c>
      <c r="E163" s="274">
        <v>39.954878402540714</v>
      </c>
    </row>
    <row r="164" spans="1:5">
      <c r="A164" s="266">
        <v>108</v>
      </c>
      <c r="B164" s="142">
        <v>0.82724114512589653</v>
      </c>
      <c r="C164" s="142">
        <v>16.85241822410066</v>
      </c>
      <c r="D164" s="142">
        <v>39.461705264773833</v>
      </c>
      <c r="E164" s="274">
        <v>40.288946409899729</v>
      </c>
    </row>
    <row r="165" spans="1:5">
      <c r="A165" s="266">
        <v>109</v>
      </c>
      <c r="B165" s="142">
        <v>0.83106214072505569</v>
      </c>
      <c r="C165" s="142">
        <v>16.930258907254395</v>
      </c>
      <c r="D165" s="142">
        <v>39.789193911294689</v>
      </c>
      <c r="E165" s="274">
        <v>40.620256052019741</v>
      </c>
    </row>
    <row r="166" spans="1:5">
      <c r="A166" s="266">
        <v>110</v>
      </c>
      <c r="B166" s="142">
        <v>0.83486564865481172</v>
      </c>
      <c r="C166" s="142">
        <v>17.00774333453246</v>
      </c>
      <c r="D166" s="142">
        <v>40.11400904693199</v>
      </c>
      <c r="E166" s="274">
        <v>40.948874695586802</v>
      </c>
    </row>
    <row r="167" spans="1:5">
      <c r="A167" s="266">
        <v>111</v>
      </c>
      <c r="B167" s="142">
        <v>0.8386519068487992</v>
      </c>
      <c r="C167" s="142">
        <v>17.084876353079061</v>
      </c>
      <c r="D167" s="142">
        <v>40.436215098894621</v>
      </c>
      <c r="E167" s="274">
        <v>41.274867005743417</v>
      </c>
    </row>
    <row r="168" spans="1:5">
      <c r="A168" s="266">
        <v>112</v>
      </c>
      <c r="B168" s="142">
        <v>0.84242114789363787</v>
      </c>
      <c r="C168" s="142">
        <v>17.161662701109901</v>
      </c>
      <c r="D168" s="142">
        <v>40.755873947577228</v>
      </c>
      <c r="E168" s="274">
        <v>41.598295095470867</v>
      </c>
    </row>
    <row r="169" spans="1:5">
      <c r="A169" s="266">
        <v>113</v>
      </c>
      <c r="B169" s="142">
        <v>0.8461735991956626</v>
      </c>
      <c r="C169" s="142">
        <v>17.238107011308792</v>
      </c>
      <c r="D169" s="142">
        <v>41.073045065316684</v>
      </c>
      <c r="E169" s="274">
        <v>41.91921866451235</v>
      </c>
    </row>
    <row r="170" spans="1:5">
      <c r="A170" s="266">
        <v>114</v>
      </c>
      <c r="B170" s="142">
        <v>0.84990948314102799</v>
      </c>
      <c r="C170" s="142">
        <v>17.314213814089278</v>
      </c>
      <c r="D170" s="142">
        <v>41.387785645577452</v>
      </c>
      <c r="E170" s="274">
        <v>42.237695128718478</v>
      </c>
    </row>
    <row r="171" spans="1:5">
      <c r="A171" s="266">
        <v>115</v>
      </c>
      <c r="B171" s="142">
        <v>0.85362901724950568</v>
      </c>
      <c r="C171" s="142">
        <v>17.389987540727759</v>
      </c>
      <c r="D171" s="142">
        <v>41.700150723360679</v>
      </c>
      <c r="E171" s="274">
        <v>42.553779740610182</v>
      </c>
    </row>
    <row r="172" spans="1:5">
      <c r="A172" s="266">
        <v>116</v>
      </c>
      <c r="B172" s="142">
        <v>0.8573324143222768</v>
      </c>
      <c r="C172" s="142">
        <v>17.465432526374297</v>
      </c>
      <c r="D172" s="142">
        <v>42.010193287554976</v>
      </c>
      <c r="E172" s="274">
        <v>42.867525701877256</v>
      </c>
    </row>
    <row r="173" spans="1:5">
      <c r="A173" s="266">
        <v>117</v>
      </c>
      <c r="B173" s="142">
        <v>0.86101988258400386</v>
      </c>
      <c r="C173" s="142">
        <v>17.540553012946887</v>
      </c>
      <c r="D173" s="142">
        <v>42.317964385878255</v>
      </c>
      <c r="E173" s="274">
        <v>43.178984268462258</v>
      </c>
    </row>
    <row r="174" spans="1:5">
      <c r="A174" s="266">
        <v>118</v>
      </c>
      <c r="B174" s="142">
        <v>0.86469162581944736</v>
      </c>
      <c r="C174" s="142">
        <v>17.615353151914572</v>
      </c>
      <c r="D174" s="142">
        <v>42.62351322299925</v>
      </c>
      <c r="E174" s="274">
        <v>43.488204848818697</v>
      </c>
    </row>
    <row r="175" spans="1:5">
      <c r="A175" s="266">
        <v>119</v>
      </c>
      <c r="B175" s="142">
        <v>0.86834784350488625</v>
      </c>
      <c r="C175" s="142">
        <v>17.689837006974749</v>
      </c>
      <c r="D175" s="142">
        <v>42.926887252372758</v>
      </c>
      <c r="E175" s="274">
        <v>43.795235095877644</v>
      </c>
    </row>
    <row r="176" spans="1:5">
      <c r="A176" s="266">
        <v>120</v>
      </c>
      <c r="B176" s="142">
        <v>0.87198873093457696</v>
      </c>
      <c r="C176" s="142">
        <v>17.764008556629328</v>
      </c>
      <c r="D176" s="142">
        <v>43.228132262274002</v>
      </c>
      <c r="E176" s="274">
        <v>44.100120993208577</v>
      </c>
    </row>
    <row r="177" spans="1:5">
      <c r="A177" s="266">
        <v>121</v>
      </c>
      <c r="B177" s="142">
        <v>0.8756144793424796</v>
      </c>
      <c r="C177" s="142">
        <v>17.837871696664564</v>
      </c>
      <c r="D177" s="142">
        <v>43.527292456473639</v>
      </c>
      <c r="E177" s="274">
        <v>44.402906935816119</v>
      </c>
    </row>
    <row r="178" spans="1:5">
      <c r="A178" s="266">
        <v>122</v>
      </c>
      <c r="B178" s="142">
        <v>0.87922527601946765</v>
      </c>
      <c r="C178" s="142">
        <v>17.911430242538795</v>
      </c>
      <c r="D178" s="142">
        <v>43.824410529955983</v>
      </c>
      <c r="E178" s="274">
        <v>44.703635805975452</v>
      </c>
    </row>
    <row r="179" spans="1:5">
      <c r="A179" s="266">
        <v>123</v>
      </c>
      <c r="B179" s="142">
        <v>0.8828213044262222</v>
      </c>
      <c r="C179" s="142">
        <v>17.98468793168233</v>
      </c>
      <c r="D179" s="142">
        <v>44.119527740047822</v>
      </c>
      <c r="E179" s="274">
        <v>45.002349044474045</v>
      </c>
    </row>
    <row r="180" spans="1:5">
      <c r="A180" s="266">
        <v>124</v>
      </c>
      <c r="B180" s="142">
        <v>0.88640274430200405</v>
      </c>
      <c r="C180" s="142">
        <v>18.057648425713321</v>
      </c>
      <c r="D180" s="142">
        <v>44.412683973292815</v>
      </c>
      <c r="E180" s="274">
        <v>45.299086717594818</v>
      </c>
    </row>
    <row r="181" spans="1:5">
      <c r="A181" s="266">
        <v>125</v>
      </c>
      <c r="B181" s="142">
        <v>0.88996977176948622</v>
      </c>
      <c r="C181" s="142">
        <v>18.130315312573398</v>
      </c>
      <c r="D181" s="142">
        <v>44.703917808379067</v>
      </c>
      <c r="E181" s="274">
        <v>45.593887580148554</v>
      </c>
    </row>
    <row r="182" spans="1:5">
      <c r="A182" s="266">
        <v>126</v>
      </c>
      <c r="B182" s="142">
        <v>0.89352255943582015</v>
      </c>
      <c r="C182" s="142">
        <v>18.202692108586575</v>
      </c>
      <c r="D182" s="142">
        <v>44.993266575400405</v>
      </c>
      <c r="E182" s="274">
        <v>45.886789134836228</v>
      </c>
    </row>
    <row r="183" spans="1:5">
      <c r="A183" s="266">
        <v>127</v>
      </c>
      <c r="B183" s="142">
        <v>0.89706127649009926</v>
      </c>
      <c r="C183" s="142">
        <v>18.274782260444766</v>
      </c>
      <c r="D183" s="142">
        <v>45.280766411709223</v>
      </c>
      <c r="E183" s="274">
        <v>46.177827688199322</v>
      </c>
    </row>
    <row r="184" spans="1:5">
      <c r="A184" s="266">
        <v>128</v>
      </c>
      <c r="B184" s="142">
        <v>0.90058608879737512</v>
      </c>
      <c r="C184" s="142">
        <v>18.346589147123051</v>
      </c>
      <c r="D184" s="142">
        <v>45.56645231459769</v>
      </c>
      <c r="E184" s="274">
        <v>46.467038403395065</v>
      </c>
    </row>
    <row r="185" spans="1:5">
      <c r="A185" s="266">
        <v>129</v>
      </c>
      <c r="B185" s="142">
        <v>0.90409715898937615</v>
      </c>
      <c r="C185" s="142">
        <v>18.418116081727796</v>
      </c>
      <c r="D185" s="142">
        <v>45.850358191024384</v>
      </c>
      <c r="E185" s="274">
        <v>46.754455350013757</v>
      </c>
    </row>
    <row r="186" spans="1:5">
      <c r="A186" s="266">
        <v>130</v>
      </c>
      <c r="B186" s="142">
        <v>0.90759464655206534</v>
      </c>
      <c r="C186" s="142">
        <v>18.48936631328036</v>
      </c>
      <c r="D186" s="142">
        <v>46.132516904586595</v>
      </c>
      <c r="E186" s="274">
        <v>47.040111551138658</v>
      </c>
    </row>
    <row r="187" spans="1:5">
      <c r="A187" s="266">
        <v>131</v>
      </c>
      <c r="B187" s="142">
        <v>0.91107870791017609</v>
      </c>
      <c r="C187" s="142">
        <v>18.560343028439245</v>
      </c>
      <c r="D187" s="142">
        <v>46.41296031992249</v>
      </c>
      <c r="E187" s="274">
        <v>47.324039027832669</v>
      </c>
    </row>
    <row r="188" spans="1:5">
      <c r="A188" s="266">
        <v>132</v>
      </c>
      <c r="B188" s="142">
        <v>0.91454949650884587</v>
      </c>
      <c r="C188" s="142">
        <v>18.631049353163124</v>
      </c>
      <c r="D188" s="142">
        <v>46.691719344712837</v>
      </c>
      <c r="E188" s="274">
        <v>47.606268841221684</v>
      </c>
    </row>
    <row r="189" spans="1:5">
      <c r="A189" s="266">
        <v>133</v>
      </c>
      <c r="B189" s="142">
        <v>0.91800716289247486</v>
      </c>
      <c r="C189" s="142">
        <v>18.70148835431733</v>
      </c>
      <c r="D189" s="142">
        <v>46.968823969439157</v>
      </c>
      <c r="E189" s="274">
        <v>47.886831132331629</v>
      </c>
    </row>
    <row r="190" spans="1:5">
      <c r="A190" s="266">
        <v>134</v>
      </c>
      <c r="B190" s="142">
        <v>0.9214518547809204</v>
      </c>
      <c r="C190" s="142">
        <v>18.771663041226088</v>
      </c>
      <c r="D190" s="142">
        <v>47.244303305042962</v>
      </c>
      <c r="E190" s="274">
        <v>48.165755159823881</v>
      </c>
    </row>
    <row r="191" spans="1:5">
      <c r="A191" s="266">
        <v>135</v>
      </c>
      <c r="B191" s="142">
        <v>0.92488371714313689</v>
      </c>
      <c r="C191" s="142">
        <v>18.841576367172681</v>
      </c>
      <c r="D191" s="142">
        <v>47.518185618620002</v>
      </c>
      <c r="E191" s="274">
        <v>48.443069335763141</v>
      </c>
    </row>
    <row r="192" spans="1:5">
      <c r="A192" s="266">
        <v>136</v>
      </c>
      <c r="B192" s="142">
        <v>0.92830289226836593</v>
      </c>
      <c r="C192" s="142">
        <v>18.911231230849744</v>
      </c>
      <c r="D192" s="142">
        <v>47.790498367273344</v>
      </c>
      <c r="E192" s="274">
        <v>48.718801259541706</v>
      </c>
    </row>
    <row r="193" spans="1:5">
      <c r="A193" s="266">
        <v>137</v>
      </c>
      <c r="B193" s="142">
        <v>0.93170951983497552</v>
      </c>
      <c r="C193" s="142">
        <v>18.980630477761622</v>
      </c>
      <c r="D193" s="142">
        <v>48.061268230240103</v>
      </c>
      <c r="E193" s="274">
        <v>48.992977750075077</v>
      </c>
    </row>
    <row r="194" spans="1:5">
      <c r="A194" s="266">
        <v>138</v>
      </c>
      <c r="B194" s="142">
        <v>0.93510373697704152</v>
      </c>
      <c r="C194" s="142">
        <v>19.049776901580763</v>
      </c>
      <c r="D194" s="142">
        <v>48.330521139398222</v>
      </c>
      <c r="E194" s="274">
        <v>49.265624876375263</v>
      </c>
    </row>
    <row r="195" spans="1:5">
      <c r="A195" s="266">
        <v>139</v>
      </c>
      <c r="B195" s="142">
        <v>0.93848567834876195</v>
      </c>
      <c r="C195" s="142">
        <v>19.11867324545997</v>
      </c>
      <c r="D195" s="142">
        <v>48.59828230825191</v>
      </c>
      <c r="E195" s="274">
        <v>49.536767986600672</v>
      </c>
    </row>
    <row r="196" spans="1:5">
      <c r="A196" s="266">
        <v>140</v>
      </c>
      <c r="B196" s="142">
        <v>0.94185547618678889</v>
      </c>
      <c r="C196" s="142">
        <v>19.187322203302191</v>
      </c>
      <c r="D196" s="142">
        <v>48.86457625948762</v>
      </c>
      <c r="E196" s="274">
        <v>49.806431735674408</v>
      </c>
    </row>
    <row r="197" spans="1:5">
      <c r="A197" s="266">
        <v>141</v>
      </c>
      <c r="B197" s="142">
        <v>0.9452132603705633</v>
      </c>
      <c r="C197" s="142">
        <v>19.255726420989678</v>
      </c>
      <c r="D197" s="142">
        <v>49.129426851185762</v>
      </c>
      <c r="E197" s="274">
        <v>50.074640111556327</v>
      </c>
    </row>
    <row r="198" spans="1:5">
      <c r="A198" s="266">
        <v>142</v>
      </c>
      <c r="B198" s="142">
        <v>0.94855915848072325</v>
      </c>
      <c r="C198" s="142">
        <v>19.323888497573844</v>
      </c>
      <c r="D198" s="142">
        <v>49.392857301767265</v>
      </c>
      <c r="E198" s="274">
        <v>50.341416460247991</v>
      </c>
    </row>
    <row r="199" spans="1:5">
      <c r="A199" s="266">
        <v>143</v>
      </c>
      <c r="B199" s="142">
        <v>0.95189329585566762</v>
      </c>
      <c r="C199" s="142">
        <v>19.391810986427583</v>
      </c>
      <c r="D199" s="142">
        <v>49.654890213749084</v>
      </c>
      <c r="E199" s="274">
        <v>50.606783509604753</v>
      </c>
    </row>
    <row r="200" spans="1:5">
      <c r="A200" s="266">
        <v>144</v>
      </c>
      <c r="B200" s="142">
        <v>0.95521579564634129</v>
      </c>
      <c r="C200" s="142">
        <v>19.459496396361342</v>
      </c>
      <c r="D200" s="142">
        <v>49.915547596377287</v>
      </c>
      <c r="E200" s="274">
        <v>50.870763392023626</v>
      </c>
    </row>
    <row r="201" spans="1:5">
      <c r="A201" s="275"/>
    </row>
    <row r="202" spans="1:5">
      <c r="A202" s="53"/>
    </row>
    <row r="203" spans="1:5">
      <c r="A203" s="275"/>
    </row>
    <row r="204" spans="1:5">
      <c r="A204" s="53"/>
    </row>
    <row r="205" spans="1:5">
      <c r="A205" s="275"/>
    </row>
    <row r="206" spans="1:5">
      <c r="A206" s="53"/>
    </row>
    <row r="207" spans="1:5">
      <c r="A207" s="275"/>
    </row>
    <row r="208" spans="1:5">
      <c r="A208" s="53"/>
    </row>
    <row r="209" spans="1:1">
      <c r="A209" s="275"/>
    </row>
    <row r="210" spans="1:1">
      <c r="A210" s="53"/>
    </row>
    <row r="211" spans="1:1">
      <c r="A211" s="275"/>
    </row>
    <row r="212" spans="1:1">
      <c r="A212" s="53"/>
    </row>
    <row r="213" spans="1:1">
      <c r="A213" s="275"/>
    </row>
    <row r="214" spans="1:1">
      <c r="A214" s="53"/>
    </row>
    <row r="215" spans="1:1">
      <c r="A215" s="275"/>
    </row>
    <row r="216" spans="1:1">
      <c r="A216" s="53"/>
    </row>
    <row r="217" spans="1:1">
      <c r="A217" s="275"/>
    </row>
    <row r="218" spans="1:1">
      <c r="A218" s="53"/>
    </row>
    <row r="219" spans="1:1">
      <c r="A219" s="275"/>
    </row>
    <row r="220" spans="1:1">
      <c r="A220" s="53"/>
    </row>
    <row r="221" spans="1:1">
      <c r="A221" s="275"/>
    </row>
    <row r="222" spans="1:1">
      <c r="A222" s="53"/>
    </row>
    <row r="223" spans="1:1">
      <c r="A223" s="275"/>
    </row>
    <row r="224" spans="1:1">
      <c r="A224" s="53"/>
    </row>
    <row r="225" spans="1:1">
      <c r="A225" s="275"/>
    </row>
    <row r="226" spans="1:1">
      <c r="A226" s="53"/>
    </row>
    <row r="227" spans="1:1">
      <c r="A227" s="275"/>
    </row>
    <row r="228" spans="1:1">
      <c r="A228" s="53"/>
    </row>
    <row r="229" spans="1:1">
      <c r="A229" s="275"/>
    </row>
    <row r="230" spans="1:1">
      <c r="A230" s="53"/>
    </row>
    <row r="231" spans="1:1">
      <c r="A231" s="275"/>
    </row>
    <row r="232" spans="1:1">
      <c r="A232" s="53"/>
    </row>
    <row r="233" spans="1:1">
      <c r="A233" s="275"/>
    </row>
    <row r="234" spans="1:1">
      <c r="A234" s="53"/>
    </row>
    <row r="235" spans="1:1">
      <c r="A235" s="275"/>
    </row>
    <row r="236" spans="1:1">
      <c r="A236" s="53"/>
    </row>
    <row r="237" spans="1:1">
      <c r="A237" s="275"/>
    </row>
    <row r="238" spans="1:1">
      <c r="A238" s="53"/>
    </row>
    <row r="239" spans="1:1">
      <c r="A239" s="275"/>
    </row>
    <row r="240" spans="1:1">
      <c r="A240" s="53"/>
    </row>
    <row r="241" spans="1:1">
      <c r="A241" s="275"/>
    </row>
    <row r="242" spans="1:1">
      <c r="A242" s="53"/>
    </row>
    <row r="243" spans="1:1">
      <c r="A243" s="275"/>
    </row>
    <row r="244" spans="1:1">
      <c r="A244" s="53"/>
    </row>
    <row r="245" spans="1:1">
      <c r="A245" s="275"/>
    </row>
    <row r="246" spans="1:1">
      <c r="A246" s="53"/>
    </row>
    <row r="247" spans="1:1">
      <c r="A247" s="275"/>
    </row>
    <row r="248" spans="1:1">
      <c r="A248" s="53"/>
    </row>
    <row r="249" spans="1:1">
      <c r="A249" s="275"/>
    </row>
    <row r="250" spans="1:1">
      <c r="A250" s="53"/>
    </row>
    <row r="251" spans="1:1">
      <c r="A251" s="275"/>
    </row>
    <row r="252" spans="1:1">
      <c r="A252" s="53"/>
    </row>
    <row r="253" spans="1:1">
      <c r="A253" s="275"/>
    </row>
    <row r="254" spans="1:1">
      <c r="A254" s="53"/>
    </row>
    <row r="255" spans="1:1">
      <c r="A255" s="275"/>
    </row>
    <row r="256" spans="1:1">
      <c r="A256" s="53"/>
    </row>
    <row r="257" spans="1:1">
      <c r="A257" s="275"/>
    </row>
    <row r="258" spans="1:1">
      <c r="A258" s="53"/>
    </row>
    <row r="259" spans="1:1">
      <c r="A259" s="275"/>
    </row>
    <row r="260" spans="1:1">
      <c r="A260" s="53"/>
    </row>
    <row r="261" spans="1:1">
      <c r="A261" s="275"/>
    </row>
    <row r="262" spans="1:1">
      <c r="A262" s="53"/>
    </row>
    <row r="263" spans="1:1">
      <c r="A263" s="275"/>
    </row>
    <row r="264" spans="1:1">
      <c r="A264" s="53"/>
    </row>
    <row r="265" spans="1:1">
      <c r="A265" s="275"/>
    </row>
    <row r="266" spans="1:1">
      <c r="A266" s="53"/>
    </row>
    <row r="267" spans="1:1">
      <c r="A267" s="275"/>
    </row>
    <row r="268" spans="1:1">
      <c r="A268" s="53"/>
    </row>
    <row r="269" spans="1:1">
      <c r="A269" s="275"/>
    </row>
    <row r="270" spans="1:1">
      <c r="A270" s="53"/>
    </row>
    <row r="271" spans="1:1">
      <c r="A271" s="275"/>
    </row>
    <row r="272" spans="1:1">
      <c r="A272" s="53"/>
    </row>
    <row r="273" spans="1:1">
      <c r="A273" s="275"/>
    </row>
    <row r="274" spans="1:1">
      <c r="A274" s="53"/>
    </row>
    <row r="275" spans="1:1">
      <c r="A275" s="275"/>
    </row>
    <row r="276" spans="1:1">
      <c r="A276" s="53"/>
    </row>
    <row r="277" spans="1:1">
      <c r="A277" s="275"/>
    </row>
    <row r="278" spans="1:1">
      <c r="A278" s="53"/>
    </row>
    <row r="279" spans="1:1">
      <c r="A279" s="275"/>
    </row>
    <row r="280" spans="1:1">
      <c r="A280" s="53"/>
    </row>
    <row r="281" spans="1:1">
      <c r="A281" s="275"/>
    </row>
    <row r="282" spans="1:1">
      <c r="A282" s="53"/>
    </row>
    <row r="283" spans="1:1">
      <c r="A283" s="275"/>
    </row>
    <row r="284" spans="1:1">
      <c r="A284" s="53"/>
    </row>
    <row r="285" spans="1:1">
      <c r="A285" s="275"/>
    </row>
    <row r="286" spans="1:1">
      <c r="A286" s="53"/>
    </row>
    <row r="287" spans="1:1">
      <c r="A287" s="275"/>
    </row>
    <row r="288" spans="1:1">
      <c r="A288" s="53"/>
    </row>
    <row r="289" spans="1:1">
      <c r="A289" s="275"/>
    </row>
    <row r="290" spans="1:1">
      <c r="A290" s="53"/>
    </row>
    <row r="291" spans="1:1">
      <c r="A291" s="275"/>
    </row>
    <row r="292" spans="1:1">
      <c r="A292" s="53"/>
    </row>
    <row r="293" spans="1:1">
      <c r="A293" s="275"/>
    </row>
    <row r="294" spans="1:1">
      <c r="A294" s="53"/>
    </row>
    <row r="295" spans="1:1">
      <c r="A295" s="275"/>
    </row>
    <row r="296" spans="1:1">
      <c r="A296" s="53"/>
    </row>
    <row r="297" spans="1:1">
      <c r="A297" s="275"/>
    </row>
    <row r="298" spans="1:1">
      <c r="A298" s="53"/>
    </row>
    <row r="299" spans="1:1">
      <c r="A299" s="275"/>
    </row>
    <row r="300" spans="1:1">
      <c r="A300" s="53"/>
    </row>
    <row r="301" spans="1:1">
      <c r="A301" s="275"/>
    </row>
    <row r="302" spans="1:1">
      <c r="A302" s="53"/>
    </row>
    <row r="303" spans="1:1">
      <c r="A303" s="275"/>
    </row>
    <row r="304" spans="1:1">
      <c r="A304" s="53"/>
    </row>
    <row r="305" spans="1:1">
      <c r="A305" s="275"/>
    </row>
    <row r="306" spans="1:1">
      <c r="A306" s="53"/>
    </row>
    <row r="307" spans="1:1">
      <c r="A307" s="275"/>
    </row>
    <row r="308" spans="1:1">
      <c r="A308" s="53"/>
    </row>
    <row r="309" spans="1:1">
      <c r="A309" s="275"/>
    </row>
    <row r="310" spans="1:1">
      <c r="A310" s="53"/>
    </row>
    <row r="311" spans="1:1">
      <c r="A311" s="275"/>
    </row>
    <row r="312" spans="1:1">
      <c r="A312" s="53"/>
    </row>
    <row r="313" spans="1:1">
      <c r="A313" s="275"/>
    </row>
    <row r="314" spans="1:1">
      <c r="A314" s="53"/>
    </row>
    <row r="315" spans="1:1">
      <c r="A315" s="275"/>
    </row>
    <row r="316" spans="1:1">
      <c r="A316" s="53"/>
    </row>
    <row r="317" spans="1:1">
      <c r="A317" s="275"/>
    </row>
    <row r="318" spans="1:1">
      <c r="A318" s="53"/>
    </row>
    <row r="319" spans="1:1">
      <c r="A319" s="275"/>
    </row>
    <row r="320" spans="1:1">
      <c r="A320" s="53"/>
    </row>
    <row r="321" spans="1:1">
      <c r="A321" s="275"/>
    </row>
    <row r="322" spans="1:1">
      <c r="A322" s="53"/>
    </row>
    <row r="323" spans="1:1">
      <c r="A323" s="275"/>
    </row>
    <row r="324" spans="1:1">
      <c r="A324" s="53"/>
    </row>
    <row r="325" spans="1:1">
      <c r="A325" s="275"/>
    </row>
    <row r="326" spans="1:1">
      <c r="A326" s="53"/>
    </row>
    <row r="327" spans="1:1">
      <c r="A327" s="275"/>
    </row>
    <row r="328" spans="1:1">
      <c r="A328" s="53"/>
    </row>
    <row r="329" spans="1:1">
      <c r="A329" s="275"/>
    </row>
    <row r="330" spans="1:1">
      <c r="A330" s="53"/>
    </row>
    <row r="331" spans="1:1">
      <c r="A331" s="275"/>
    </row>
    <row r="332" spans="1:1">
      <c r="A332" s="53"/>
    </row>
    <row r="333" spans="1:1">
      <c r="A333" s="275"/>
    </row>
    <row r="334" spans="1:1">
      <c r="A334" s="53"/>
    </row>
    <row r="335" spans="1:1">
      <c r="A335" s="275"/>
    </row>
    <row r="336" spans="1:1">
      <c r="A336" s="53"/>
    </row>
    <row r="337" spans="1:1">
      <c r="A337" s="275"/>
    </row>
    <row r="338" spans="1:1">
      <c r="A338" s="53"/>
    </row>
    <row r="339" spans="1:1">
      <c r="A339" s="275"/>
    </row>
    <row r="340" spans="1:1">
      <c r="A340" s="53"/>
    </row>
    <row r="341" spans="1:1">
      <c r="A341" s="275"/>
    </row>
    <row r="342" spans="1:1">
      <c r="A342" s="53"/>
    </row>
  </sheetData>
  <mergeCells count="4">
    <mergeCell ref="A2:H2"/>
    <mergeCell ref="A13:H13"/>
    <mergeCell ref="A26:B26"/>
    <mergeCell ref="A54:E54"/>
  </mergeCells>
  <conditionalFormatting sqref="D44">
    <cfRule type="cellIs" dxfId="3" priority="3" operator="equal">
      <formula>"Closed"</formula>
    </cfRule>
    <cfRule type="cellIs" dxfId="2" priority="4" operator="equal">
      <formula>"OPEN"</formula>
    </cfRule>
  </conditionalFormatting>
  <conditionalFormatting sqref="C44">
    <cfRule type="cellIs" dxfId="1" priority="1" operator="equal">
      <formula>"Closed"</formula>
    </cfRule>
    <cfRule type="cellIs" dxfId="0" priority="2" operator="equal">
      <formula>"OPEN"</formula>
    </cfRule>
  </conditionalFormatting>
  <dataValidations count="2">
    <dataValidation type="custom" allowBlank="1" showInputMessage="1" showErrorMessage="1" sqref="D14 D19:D20" xr:uid="{E9489ECD-ABCC-4D45-9384-A5CAAEB9B50F}">
      <formula1>D14&lt;D4/2</formula1>
    </dataValidation>
    <dataValidation type="decimal" allowBlank="1" showInputMessage="1" showErrorMessage="1" sqref="B21" xr:uid="{C02963AB-F514-4A35-A334-D53FDC467929}">
      <formula1>0.001</formula1>
      <formula2>0.99</formula2>
    </dataValidation>
  </dataValidation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9E3A-AA09-44B3-9D5F-7FF1ED91C3DE}">
  <dimension ref="A2:AC372"/>
  <sheetViews>
    <sheetView topLeftCell="A7"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 min="17" max="17" width="19.140625" bestFit="1" customWidth="1"/>
    <col min="18" max="18" width="12.85546875" bestFit="1" customWidth="1"/>
    <col min="19" max="19" width="11.85546875" bestFit="1" customWidth="1"/>
    <col min="26" max="26" width="14.5703125" bestFit="1" customWidth="1"/>
  </cols>
  <sheetData>
    <row r="2" spans="1:29">
      <c r="Z2" s="80" t="s">
        <v>18</v>
      </c>
    </row>
    <row r="3" spans="1:29">
      <c r="A3" s="5" t="s">
        <v>17</v>
      </c>
      <c r="B3" s="5" t="s">
        <v>18</v>
      </c>
      <c r="C3" s="124">
        <f>'Data Tab Box - Input and Output'!D14/12</f>
        <v>0.25</v>
      </c>
      <c r="D3" s="5" t="s">
        <v>5</v>
      </c>
      <c r="Q3" s="84" t="s">
        <v>154</v>
      </c>
    </row>
    <row r="4" spans="1:29">
      <c r="A4" s="5" t="s">
        <v>20</v>
      </c>
      <c r="B4" s="5" t="s">
        <v>21</v>
      </c>
      <c r="C4" s="5">
        <f>C3/2</f>
        <v>0.125</v>
      </c>
      <c r="D4" s="5" t="s">
        <v>5</v>
      </c>
    </row>
    <row r="5" spans="1:29">
      <c r="A5" s="5" t="s">
        <v>22</v>
      </c>
      <c r="B5" s="5" t="s">
        <v>23</v>
      </c>
      <c r="C5" s="263">
        <f>'Data Tab Box - Input and Output'!F7</f>
        <v>8.3333333333333329E-2</v>
      </c>
      <c r="D5" s="5" t="s">
        <v>5</v>
      </c>
      <c r="Q5" t="s">
        <v>169</v>
      </c>
      <c r="R5" s="44" t="s">
        <v>54</v>
      </c>
      <c r="S5" s="11">
        <f>'Data Tab Box - Input and Output'!D27</f>
        <v>2.5103931764327223E-2</v>
      </c>
      <c r="T5" t="s">
        <v>99</v>
      </c>
    </row>
    <row r="6" spans="1:29">
      <c r="A6" s="5" t="s">
        <v>135</v>
      </c>
      <c r="B6" s="5"/>
      <c r="C6" s="5">
        <f>PI()*C3^2/4</f>
        <v>4.9087385212340517E-2</v>
      </c>
      <c r="D6" s="5" t="s">
        <v>32</v>
      </c>
      <c r="Q6" t="s">
        <v>119</v>
      </c>
      <c r="R6" s="44" t="s">
        <v>33</v>
      </c>
      <c r="S6" s="9">
        <f>'Data Tab Box - Input and Output'!D35</f>
        <v>1.4323277137709686E-2</v>
      </c>
      <c r="T6" t="s">
        <v>37</v>
      </c>
    </row>
    <row r="7" spans="1:29">
      <c r="A7" s="5" t="s">
        <v>25</v>
      </c>
      <c r="B7" s="5" t="s">
        <v>26</v>
      </c>
      <c r="C7" s="5">
        <f>IF(C5&lt;C4,C5,2*C4-C5)</f>
        <v>8.3333333333333329E-2</v>
      </c>
      <c r="D7" s="5" t="s">
        <v>5</v>
      </c>
      <c r="Q7" t="s">
        <v>113</v>
      </c>
      <c r="S7">
        <v>0.7</v>
      </c>
    </row>
    <row r="8" spans="1:29">
      <c r="A8" s="5" t="s">
        <v>27</v>
      </c>
      <c r="B8" s="6" t="s">
        <v>28</v>
      </c>
      <c r="C8" s="5">
        <f>2*ACOS((C4-C7)/C4)</f>
        <v>2.461918834681549</v>
      </c>
      <c r="D8" s="5" t="s">
        <v>29</v>
      </c>
      <c r="Q8" t="s">
        <v>172</v>
      </c>
      <c r="R8" s="44"/>
      <c r="S8" s="9">
        <f>(S5/(S7*S6))^2/(2*C36)</f>
        <v>9.7345695878611971E-2</v>
      </c>
      <c r="T8" t="s">
        <v>37</v>
      </c>
    </row>
    <row r="9" spans="1:29">
      <c r="A9" s="5"/>
      <c r="B9" s="5"/>
      <c r="C9" s="5">
        <f>C8*180/PI()</f>
        <v>141.05755873101862</v>
      </c>
      <c r="D9" s="5" t="s">
        <v>9</v>
      </c>
      <c r="Q9" t="s">
        <v>172</v>
      </c>
      <c r="S9" s="9">
        <f>(S8*4/PI())^0.5</f>
        <v>0.35205736677764821</v>
      </c>
      <c r="T9" t="s">
        <v>37</v>
      </c>
    </row>
    <row r="10" spans="1:29">
      <c r="A10" s="5" t="s">
        <v>30</v>
      </c>
      <c r="B10" s="5" t="s">
        <v>31</v>
      </c>
      <c r="C10" s="5">
        <f>C4^2*(C8-SIN(C8))/2</f>
        <v>1.4323277137709686E-2</v>
      </c>
      <c r="D10" s="5" t="s">
        <v>32</v>
      </c>
    </row>
    <row r="11" spans="1:29">
      <c r="A11" s="5" t="s">
        <v>35</v>
      </c>
      <c r="B11" s="5" t="s">
        <v>36</v>
      </c>
      <c r="C11" s="5">
        <f>C4*C8</f>
        <v>0.30773985433519363</v>
      </c>
      <c r="D11" s="5" t="s">
        <v>37</v>
      </c>
      <c r="Z11" s="44" t="s">
        <v>164</v>
      </c>
      <c r="AA11" s="44" t="s">
        <v>162</v>
      </c>
      <c r="AB11" s="44" t="s">
        <v>163</v>
      </c>
      <c r="AC11" s="44" t="s">
        <v>167</v>
      </c>
    </row>
    <row r="12" spans="1:29">
      <c r="A12" s="5" t="s">
        <v>38</v>
      </c>
      <c r="B12" s="5" t="s">
        <v>33</v>
      </c>
      <c r="C12" s="5">
        <f>IF(C5&gt;C3,C6,IF(C5&lt;C4,C10,PI()*C4^2-C10))</f>
        <v>1.4323277137709686E-2</v>
      </c>
      <c r="D12" s="5" t="s">
        <v>32</v>
      </c>
      <c r="Q12" t="s">
        <v>171</v>
      </c>
      <c r="Z12">
        <f>AB12-SIN(AB12)</f>
        <v>0</v>
      </c>
      <c r="AA12">
        <v>0</v>
      </c>
      <c r="AB12">
        <f>AA12*PI()/180</f>
        <v>0</v>
      </c>
      <c r="AC12">
        <f>SIN(AB12)</f>
        <v>0</v>
      </c>
    </row>
    <row r="13" spans="1:29">
      <c r="A13" s="5" t="s">
        <v>39</v>
      </c>
      <c r="B13" s="5" t="s">
        <v>40</v>
      </c>
      <c r="C13" s="5">
        <f>IF(C5&lt;C4,C11,2*PI()*C4-C11)</f>
        <v>0.30773985433519363</v>
      </c>
      <c r="D13" s="5" t="s">
        <v>37</v>
      </c>
      <c r="Q13" t="s">
        <v>170</v>
      </c>
      <c r="R13" s="44" t="s">
        <v>18</v>
      </c>
      <c r="S13">
        <f>C3</f>
        <v>0.25</v>
      </c>
      <c r="T13" t="s">
        <v>37</v>
      </c>
      <c r="Z13">
        <f t="shared" ref="Z13:Z76" si="0">AB13-SIN(AB13)</f>
        <v>8.8608265978382117E-7</v>
      </c>
      <c r="AA13">
        <v>1</v>
      </c>
      <c r="AB13">
        <f t="shared" ref="AB13:AB76" si="1">AA13*PI()/180</f>
        <v>1.7453292519943295E-2</v>
      </c>
      <c r="AC13">
        <f t="shared" ref="AC13:AC76" si="2">SIN(AB13)</f>
        <v>1.7452406437283512E-2</v>
      </c>
    </row>
    <row r="14" spans="1:29" ht="18">
      <c r="A14" s="5" t="s">
        <v>42</v>
      </c>
      <c r="B14" s="5" t="s">
        <v>43</v>
      </c>
      <c r="C14" s="5">
        <f>IF(C5=0,0,C12/C13)</f>
        <v>4.6543458495657226E-2</v>
      </c>
      <c r="D14" s="5" t="s">
        <v>37</v>
      </c>
      <c r="Q14" t="s">
        <v>159</v>
      </c>
      <c r="R14" s="44" t="s">
        <v>21</v>
      </c>
      <c r="S14">
        <f>C4</f>
        <v>0.125</v>
      </c>
      <c r="T14" t="s">
        <v>37</v>
      </c>
      <c r="Z14">
        <f t="shared" si="0"/>
        <v>7.0883373856217569E-6</v>
      </c>
      <c r="AA14">
        <v>2</v>
      </c>
      <c r="AB14">
        <f t="shared" si="1"/>
        <v>3.4906585039886591E-2</v>
      </c>
      <c r="AC14">
        <f t="shared" si="2"/>
        <v>3.4899496702500969E-2</v>
      </c>
    </row>
    <row r="15" spans="1:29">
      <c r="Q15" t="s">
        <v>119</v>
      </c>
      <c r="R15" s="44" t="s">
        <v>33</v>
      </c>
      <c r="S15" s="82">
        <f>'Data Tab Box - Input and Output'!D35</f>
        <v>1.4323277137709686E-2</v>
      </c>
      <c r="T15" t="s">
        <v>32</v>
      </c>
      <c r="Z15">
        <f t="shared" si="0"/>
        <v>2.3921316886055255E-5</v>
      </c>
      <c r="AA15">
        <v>3</v>
      </c>
      <c r="AB15">
        <f t="shared" si="1"/>
        <v>5.2359877559829883E-2</v>
      </c>
      <c r="AC15">
        <f t="shared" si="2"/>
        <v>5.2335956242943828E-2</v>
      </c>
    </row>
    <row r="16" spans="1:29">
      <c r="A16" s="10" t="s">
        <v>86</v>
      </c>
      <c r="B16" s="3"/>
      <c r="C16" s="3"/>
      <c r="D16" s="3"/>
      <c r="R16" s="44"/>
      <c r="Z16">
        <f t="shared" si="0"/>
        <v>5.6696335647879459E-5</v>
      </c>
      <c r="AA16">
        <v>4</v>
      </c>
      <c r="AB16">
        <f t="shared" si="1"/>
        <v>6.9813170079773182E-2</v>
      </c>
      <c r="AC16">
        <f t="shared" si="2"/>
        <v>6.9756473744125302E-2</v>
      </c>
    </row>
    <row r="17" spans="1:29">
      <c r="A17" s="3" t="s">
        <v>88</v>
      </c>
      <c r="B17" s="3" t="s">
        <v>64</v>
      </c>
      <c r="C17" s="264">
        <f>C3</f>
        <v>0.25</v>
      </c>
      <c r="D17" s="3" t="s">
        <v>5</v>
      </c>
      <c r="E17" s="42" t="s">
        <v>125</v>
      </c>
      <c r="Q17" t="s">
        <v>155</v>
      </c>
      <c r="S17">
        <f>PI()*C3^2/4</f>
        <v>4.9087385212340517E-2</v>
      </c>
      <c r="T17" t="s">
        <v>32</v>
      </c>
      <c r="U17" t="b">
        <f>S17-C6=0</f>
        <v>1</v>
      </c>
      <c r="V17" t="s">
        <v>160</v>
      </c>
      <c r="Z17">
        <f t="shared" si="0"/>
        <v>1.1071985205830803E-4</v>
      </c>
      <c r="AA17">
        <v>5</v>
      </c>
      <c r="AB17">
        <f t="shared" si="1"/>
        <v>8.7266462599716474E-2</v>
      </c>
      <c r="AC17">
        <f t="shared" si="2"/>
        <v>8.7155742747658166E-2</v>
      </c>
    </row>
    <row r="18" spans="1:29">
      <c r="A18" s="3" t="s">
        <v>87</v>
      </c>
      <c r="B18" s="3"/>
      <c r="C18" s="3">
        <f>2*ACOS((C4-C17)/C4)</f>
        <v>6.2831853071795862</v>
      </c>
      <c r="D18" s="3" t="s">
        <v>29</v>
      </c>
      <c r="Q18" t="s">
        <v>156</v>
      </c>
      <c r="S18">
        <f>S17/2</f>
        <v>2.4543692606170259E-2</v>
      </c>
      <c r="T18" t="s">
        <v>32</v>
      </c>
      <c r="Z18">
        <f t="shared" si="0"/>
        <v>1.9129185200630894E-4</v>
      </c>
      <c r="AA18">
        <v>6</v>
      </c>
      <c r="AB18">
        <f t="shared" si="1"/>
        <v>0.10471975511965977</v>
      </c>
      <c r="AC18">
        <f t="shared" si="2"/>
        <v>0.10452846326765346</v>
      </c>
    </row>
    <row r="19" spans="1:29">
      <c r="A19" s="3"/>
      <c r="B19" s="3"/>
      <c r="C19" s="3">
        <f>C18*180/PI()</f>
        <v>360</v>
      </c>
      <c r="D19" s="3" t="s">
        <v>9</v>
      </c>
      <c r="Z19">
        <f t="shared" si="0"/>
        <v>3.0370423445559569E-4</v>
      </c>
      <c r="AA19">
        <v>7</v>
      </c>
      <c r="AB19">
        <f t="shared" si="1"/>
        <v>0.12217304763960307</v>
      </c>
      <c r="AC19">
        <f t="shared" si="2"/>
        <v>0.12186934340514748</v>
      </c>
    </row>
    <row r="20" spans="1:29">
      <c r="A20" s="3" t="s">
        <v>121</v>
      </c>
      <c r="B20" s="3"/>
      <c r="C20" s="3">
        <f>C4^2*(C18-SIN(C18))/2</f>
        <v>4.9087385212340517E-2</v>
      </c>
      <c r="D20" s="3" t="s">
        <v>32</v>
      </c>
      <c r="Z20">
        <f t="shared" si="0"/>
        <v>4.5323919948092595E-4</v>
      </c>
      <c r="AA20">
        <v>8</v>
      </c>
      <c r="AB20">
        <f t="shared" si="1"/>
        <v>0.13962634015954636</v>
      </c>
      <c r="AC20">
        <f t="shared" si="2"/>
        <v>0.13917310096006544</v>
      </c>
    </row>
    <row r="21" spans="1:29">
      <c r="A21" s="3" t="s">
        <v>89</v>
      </c>
      <c r="B21" s="3"/>
      <c r="C21" s="3">
        <f>IF(C5&gt;C3,C6,C12-C20)</f>
        <v>-3.4764108074630831E-2</v>
      </c>
      <c r="D21" s="3" t="s">
        <v>32</v>
      </c>
      <c r="Q21" t="s">
        <v>30</v>
      </c>
      <c r="R21" t="s">
        <v>157</v>
      </c>
      <c r="S21" s="83">
        <f>S15</f>
        <v>1.4323277137709686E-2</v>
      </c>
      <c r="T21" t="s">
        <v>32</v>
      </c>
      <c r="Z21">
        <f t="shared" si="0"/>
        <v>6.4516763925878684E-4</v>
      </c>
      <c r="AA21">
        <v>9</v>
      </c>
      <c r="AB21">
        <f t="shared" si="1"/>
        <v>0.15707963267948966</v>
      </c>
      <c r="AC21">
        <f t="shared" si="2"/>
        <v>0.15643446504023087</v>
      </c>
    </row>
    <row r="22" spans="1:29">
      <c r="Z22">
        <f t="shared" si="0"/>
        <v>8.8474753250261662E-4</v>
      </c>
      <c r="AA22">
        <v>10</v>
      </c>
      <c r="AB22">
        <f t="shared" si="1"/>
        <v>0.17453292519943295</v>
      </c>
      <c r="AC22">
        <f t="shared" si="2"/>
        <v>0.17364817766693033</v>
      </c>
    </row>
    <row r="23" spans="1:29">
      <c r="A23" s="5" t="s">
        <v>49</v>
      </c>
      <c r="B23" s="5" t="s">
        <v>36</v>
      </c>
      <c r="C23" s="43">
        <f>'Data Tab Box - Input and Output'!D8</f>
        <v>0.01</v>
      </c>
      <c r="D23" s="5" t="s">
        <v>50</v>
      </c>
      <c r="Q23" t="s">
        <v>158</v>
      </c>
      <c r="S23">
        <f>(S21*2)/(S14^2)</f>
        <v>1.8333794736268398</v>
      </c>
      <c r="T23" t="s">
        <v>161</v>
      </c>
      <c r="Z23">
        <f t="shared" si="0"/>
        <v>1.1772223428314355E-3</v>
      </c>
      <c r="AA23">
        <v>11</v>
      </c>
      <c r="AB23">
        <f t="shared" si="1"/>
        <v>0.19198621771937624</v>
      </c>
      <c r="AC23">
        <f t="shared" si="2"/>
        <v>0.1908089953765448</v>
      </c>
    </row>
    <row r="24" spans="1:29">
      <c r="A24" s="5"/>
      <c r="B24" s="5"/>
      <c r="C24" s="8">
        <f>C23</f>
        <v>0.01</v>
      </c>
      <c r="D24" s="5" t="s">
        <v>51</v>
      </c>
      <c r="Q24" t="s">
        <v>165</v>
      </c>
      <c r="S24">
        <f>VLOOKUP(S23,Z12:AB371,3)</f>
        <v>2.4609142453120043</v>
      </c>
      <c r="T24" t="s">
        <v>161</v>
      </c>
      <c r="Z24">
        <f t="shared" si="0"/>
        <v>1.527819421560217E-3</v>
      </c>
      <c r="AA24">
        <v>12</v>
      </c>
      <c r="AB24">
        <f t="shared" si="1"/>
        <v>0.20943951023931953</v>
      </c>
      <c r="AC24">
        <f t="shared" si="2"/>
        <v>0.20791169081775931</v>
      </c>
    </row>
    <row r="25" spans="1:29">
      <c r="A25" s="5" t="s">
        <v>52</v>
      </c>
      <c r="B25" s="5" t="s">
        <v>16</v>
      </c>
      <c r="C25" s="5">
        <f>'Data Tab Box - Input and Output'!D10</f>
        <v>1.0999999999999999E-2</v>
      </c>
      <c r="D25" s="5"/>
      <c r="S25">
        <f>S24*180/PI()</f>
        <v>141</v>
      </c>
      <c r="T25" t="s">
        <v>166</v>
      </c>
      <c r="Z25">
        <f t="shared" si="0"/>
        <v>1.9417484153978481E-3</v>
      </c>
      <c r="AA25">
        <v>13</v>
      </c>
      <c r="AB25">
        <f t="shared" si="1"/>
        <v>0.22689280275926285</v>
      </c>
      <c r="AC25">
        <f t="shared" si="2"/>
        <v>0.224951054343865</v>
      </c>
    </row>
    <row r="26" spans="1:29">
      <c r="A26" s="5"/>
      <c r="B26" s="5"/>
      <c r="C26" s="5"/>
      <c r="D26" s="5"/>
      <c r="Z26">
        <f t="shared" si="0"/>
        <v>2.4241996795384135E-3</v>
      </c>
      <c r="AA26">
        <v>14</v>
      </c>
      <c r="AB26">
        <f t="shared" si="1"/>
        <v>0.24434609527920614</v>
      </c>
      <c r="AC26">
        <f t="shared" si="2"/>
        <v>0.24192189559966773</v>
      </c>
    </row>
    <row r="27" spans="1:29">
      <c r="A27" s="5" t="s">
        <v>22</v>
      </c>
      <c r="B27" s="5" t="s">
        <v>23</v>
      </c>
      <c r="C27" s="5">
        <f>C5</f>
        <v>8.3333333333333329E-2</v>
      </c>
      <c r="D27" s="5" t="s">
        <v>5</v>
      </c>
      <c r="Q27" t="s">
        <v>26</v>
      </c>
      <c r="S27">
        <f>(1-COS(S24/2))*S14</f>
        <v>8.3274142595778616E-2</v>
      </c>
      <c r="T27" t="s">
        <v>37</v>
      </c>
      <c r="Z27">
        <f t="shared" si="0"/>
        <v>2.9803426966286684E-3</v>
      </c>
      <c r="AA27">
        <v>15</v>
      </c>
      <c r="AB27">
        <f t="shared" si="1"/>
        <v>0.26179938779914941</v>
      </c>
      <c r="AC27">
        <f t="shared" si="2"/>
        <v>0.25881904510252074</v>
      </c>
    </row>
    <row r="28" spans="1:29">
      <c r="A28" s="5"/>
      <c r="B28" s="5"/>
      <c r="C28" s="5"/>
      <c r="D28" s="5"/>
      <c r="S28">
        <f>S27*12</f>
        <v>0.9992897111493434</v>
      </c>
      <c r="T28" t="s">
        <v>4</v>
      </c>
      <c r="Z28">
        <f t="shared" si="0"/>
        <v>3.6153245020935643E-3</v>
      </c>
      <c r="AA28">
        <v>16</v>
      </c>
      <c r="AB28">
        <f t="shared" si="1"/>
        <v>0.27925268031909273</v>
      </c>
      <c r="AC28">
        <f t="shared" si="2"/>
        <v>0.27563735581699916</v>
      </c>
    </row>
    <row r="29" spans="1:29">
      <c r="A29" s="5" t="s">
        <v>53</v>
      </c>
      <c r="B29" s="5" t="s">
        <v>54</v>
      </c>
      <c r="C29" s="5">
        <f>(1.49/C25)*C12*(C14)^(2/3)*(C24^0.5)</f>
        <v>2.5103931764327223E-2</v>
      </c>
      <c r="D29" s="5" t="s">
        <v>55</v>
      </c>
      <c r="K29" s="7" t="s">
        <v>44</v>
      </c>
      <c r="S29" s="83"/>
      <c r="Z29">
        <f t="shared" si="0"/>
        <v>4.334268116299278E-3</v>
      </c>
      <c r="AA29">
        <v>17</v>
      </c>
      <c r="AB29">
        <f t="shared" si="1"/>
        <v>0.29670597283903605</v>
      </c>
      <c r="AC29">
        <f t="shared" si="2"/>
        <v>0.29237170472273677</v>
      </c>
    </row>
    <row r="30" spans="1:29">
      <c r="A30" s="5"/>
      <c r="B30" s="5"/>
      <c r="C30" s="5">
        <f>C29*7.48*60</f>
        <v>11.266644575830057</v>
      </c>
      <c r="D30" s="5" t="s">
        <v>56</v>
      </c>
      <c r="Z30">
        <f t="shared" si="0"/>
        <v>5.1422709840319158E-3</v>
      </c>
      <c r="AA30">
        <v>18</v>
      </c>
      <c r="AB30">
        <f t="shared" si="1"/>
        <v>0.31415926535897931</v>
      </c>
      <c r="AC30">
        <f t="shared" si="2"/>
        <v>0.3090169943749474</v>
      </c>
    </row>
    <row r="31" spans="1:29">
      <c r="A31" s="5"/>
      <c r="B31" s="5"/>
      <c r="C31" s="5"/>
      <c r="D31" s="5"/>
      <c r="K31" t="s">
        <v>46</v>
      </c>
      <c r="L31">
        <v>72</v>
      </c>
      <c r="M31" t="s">
        <v>4</v>
      </c>
      <c r="S31" s="81"/>
      <c r="Z31">
        <f t="shared" si="0"/>
        <v>6.0444034217659315E-3</v>
      </c>
      <c r="AA31">
        <v>19</v>
      </c>
      <c r="AB31">
        <f t="shared" si="1"/>
        <v>0.33161255787892258</v>
      </c>
      <c r="AC31">
        <f t="shared" si="2"/>
        <v>0.32556815445715664</v>
      </c>
    </row>
    <row r="32" spans="1:29">
      <c r="A32" s="5" t="s">
        <v>57</v>
      </c>
      <c r="B32" s="5" t="s">
        <v>58</v>
      </c>
      <c r="C32" s="5">
        <f>IF(C29=0,0,C29/C12)</f>
        <v>1.7526667621500327</v>
      </c>
      <c r="D32" s="5" t="s">
        <v>59</v>
      </c>
      <c r="K32" t="s">
        <v>47</v>
      </c>
      <c r="L32">
        <v>6</v>
      </c>
      <c r="M32" t="s">
        <v>4</v>
      </c>
      <c r="Z32">
        <f t="shared" si="0"/>
        <v>7.0457070731971827E-3</v>
      </c>
      <c r="AA32">
        <v>20</v>
      </c>
      <c r="AB32">
        <f t="shared" si="1"/>
        <v>0.3490658503988659</v>
      </c>
      <c r="AC32">
        <f t="shared" si="2"/>
        <v>0.34202014332566871</v>
      </c>
    </row>
    <row r="33" spans="1:29">
      <c r="A33" s="5"/>
      <c r="B33" s="5"/>
      <c r="C33" s="5"/>
      <c r="D33" s="5"/>
      <c r="K33" t="s">
        <v>48</v>
      </c>
      <c r="L33">
        <f>(L31^2-(L32/2)^2)^0.5</f>
        <v>71.937472849690792</v>
      </c>
      <c r="M33" t="s">
        <v>4</v>
      </c>
      <c r="Z33">
        <f t="shared" si="0"/>
        <v>8.151193373508947E-3</v>
      </c>
      <c r="AA33">
        <v>21</v>
      </c>
      <c r="AB33">
        <f t="shared" si="1"/>
        <v>0.36651914291880922</v>
      </c>
      <c r="AC33">
        <f t="shared" si="2"/>
        <v>0.35836794954530027</v>
      </c>
    </row>
    <row r="34" spans="1:29">
      <c r="A34" s="5"/>
      <c r="B34" s="5"/>
      <c r="C34" s="5"/>
      <c r="D34" s="5"/>
      <c r="K34" t="s">
        <v>47</v>
      </c>
      <c r="L34">
        <f>180-2*ASIN(L33/L31)*180/PI()</f>
        <v>4.7760309265376861</v>
      </c>
      <c r="M34" t="s">
        <v>9</v>
      </c>
      <c r="Z34">
        <f t="shared" si="0"/>
        <v>9.3658420228404649E-3</v>
      </c>
      <c r="AA34">
        <v>22</v>
      </c>
      <c r="AB34">
        <f t="shared" si="1"/>
        <v>0.38397243543875248</v>
      </c>
      <c r="AC34">
        <f t="shared" si="2"/>
        <v>0.37460659341591201</v>
      </c>
    </row>
    <row r="35" spans="1:29">
      <c r="A35" s="5"/>
      <c r="B35" s="5"/>
      <c r="C35" s="5"/>
      <c r="D35" s="5"/>
      <c r="Z35">
        <f t="shared" si="0"/>
        <v>1.0694599469422028E-2</v>
      </c>
      <c r="AA35">
        <v>23</v>
      </c>
      <c r="AB35">
        <f t="shared" si="1"/>
        <v>0.40142572795869574</v>
      </c>
      <c r="AC35">
        <f t="shared" si="2"/>
        <v>0.39073112848927372</v>
      </c>
    </row>
    <row r="36" spans="1:29">
      <c r="A36" t="s">
        <v>98</v>
      </c>
      <c r="B36" t="s">
        <v>80</v>
      </c>
      <c r="C36">
        <f>'Data Tab Box - Input and Output'!P5</f>
        <v>32.200000000000003</v>
      </c>
      <c r="D36" t="s">
        <v>81</v>
      </c>
      <c r="Z36">
        <f t="shared" si="0"/>
        <v>1.2142377402838911E-2</v>
      </c>
      <c r="AA36">
        <v>24</v>
      </c>
      <c r="AB36">
        <f t="shared" si="1"/>
        <v>0.41887902047863906</v>
      </c>
      <c r="AC36">
        <f t="shared" si="2"/>
        <v>0.40673664307580015</v>
      </c>
    </row>
    <row r="37" spans="1:29">
      <c r="Z37">
        <f t="shared" si="0"/>
        <v>1.3714051257882942E-2</v>
      </c>
      <c r="AA37">
        <v>25</v>
      </c>
      <c r="AB37">
        <f t="shared" si="1"/>
        <v>0.43633231299858238</v>
      </c>
      <c r="AC37">
        <f t="shared" si="2"/>
        <v>0.42261826174069944</v>
      </c>
    </row>
    <row r="38" spans="1:29">
      <c r="Z38">
        <f t="shared" si="0"/>
        <v>1.5414458729448299E-2</v>
      </c>
      <c r="AA38">
        <v>26</v>
      </c>
      <c r="AB38">
        <f t="shared" si="1"/>
        <v>0.4537856055185257</v>
      </c>
      <c r="AC38">
        <f t="shared" si="2"/>
        <v>0.4383711467890774</v>
      </c>
    </row>
    <row r="39" spans="1:29">
      <c r="A39" s="17"/>
      <c r="B39" s="13"/>
      <c r="C39" s="13"/>
      <c r="D39" s="13"/>
      <c r="E39" s="16"/>
      <c r="F39" s="16"/>
      <c r="G39" s="16"/>
      <c r="H39" s="16"/>
      <c r="Z39">
        <f t="shared" si="0"/>
        <v>1.7248398298922218E-2</v>
      </c>
      <c r="AA39">
        <v>27</v>
      </c>
      <c r="AB39">
        <f t="shared" si="1"/>
        <v>0.47123889803846897</v>
      </c>
      <c r="AC39">
        <f t="shared" si="2"/>
        <v>0.45399049973954675</v>
      </c>
    </row>
    <row r="40" spans="1:29">
      <c r="A40" s="13" t="s">
        <v>94</v>
      </c>
      <c r="B40" s="15">
        <f>'Data Tab Box - Input and Output'!D42-'Data Tab Box - Input and Output'!D43</f>
        <v>0</v>
      </c>
      <c r="C40" s="13" t="str">
        <f>'Data Tab Box - Input and Output'!D44</f>
        <v>Closed</v>
      </c>
      <c r="D40" s="13"/>
      <c r="E40" s="16"/>
      <c r="F40" s="16"/>
      <c r="G40" s="16"/>
      <c r="H40" s="16"/>
      <c r="Z40">
        <f t="shared" si="0"/>
        <v>1.9220627772521481E-2</v>
      </c>
      <c r="AA40">
        <v>28</v>
      </c>
      <c r="AB40">
        <f t="shared" si="1"/>
        <v>0.48869219055841229</v>
      </c>
      <c r="AC40">
        <f t="shared" si="2"/>
        <v>0.46947156278589081</v>
      </c>
    </row>
    <row r="41" spans="1:29">
      <c r="A41" s="13" t="s">
        <v>124</v>
      </c>
      <c r="B41" s="14">
        <f>C27</f>
        <v>8.3333333333333329E-2</v>
      </c>
      <c r="C41" s="13" t="s">
        <v>37</v>
      </c>
      <c r="D41" s="13"/>
      <c r="E41" s="16"/>
      <c r="F41" s="16"/>
      <c r="G41" s="16"/>
      <c r="H41" s="16"/>
      <c r="Z41">
        <f t="shared" si="0"/>
        <v>2.1335862832018548E-2</v>
      </c>
      <c r="AA41">
        <v>29</v>
      </c>
      <c r="AB41">
        <f t="shared" si="1"/>
        <v>0.50614548307835561</v>
      </c>
      <c r="AC41">
        <f t="shared" si="2"/>
        <v>0.48480962024633706</v>
      </c>
    </row>
    <row r="42" spans="1:29">
      <c r="A42" s="13" t="s">
        <v>88</v>
      </c>
      <c r="B42" s="13">
        <f>C17</f>
        <v>0.25</v>
      </c>
      <c r="C42" s="13" t="s">
        <v>37</v>
      </c>
      <c r="D42" s="13"/>
      <c r="E42" s="16"/>
      <c r="F42" s="16"/>
      <c r="G42" s="16"/>
      <c r="H42" s="16"/>
      <c r="Z42">
        <f t="shared" si="0"/>
        <v>2.3598775598298871E-2</v>
      </c>
      <c r="AA42">
        <v>30</v>
      </c>
      <c r="AB42">
        <f t="shared" si="1"/>
        <v>0.52359877559829882</v>
      </c>
      <c r="AC42">
        <f t="shared" si="2"/>
        <v>0.49999999999999994</v>
      </c>
    </row>
    <row r="43" spans="1:29">
      <c r="A43" s="13" t="s">
        <v>96</v>
      </c>
      <c r="B43" s="13">
        <f>IF(B41&gt;B42,"Open Channel",C29)</f>
        <v>2.5103931764327223E-2</v>
      </c>
      <c r="C43" s="13" t="s">
        <v>99</v>
      </c>
      <c r="D43" s="13">
        <f>C29</f>
        <v>2.5103931764327223E-2</v>
      </c>
      <c r="E43" s="16" t="s">
        <v>122</v>
      </c>
      <c r="F43" s="16"/>
      <c r="G43" s="16"/>
      <c r="H43" s="16"/>
      <c r="Z43">
        <f t="shared" si="0"/>
        <v>2.601399320818798E-2</v>
      </c>
      <c r="AA43">
        <v>31</v>
      </c>
      <c r="AB43">
        <f t="shared" si="1"/>
        <v>0.54105206811824214</v>
      </c>
      <c r="AC43">
        <f t="shared" si="2"/>
        <v>0.51503807491005416</v>
      </c>
    </row>
    <row r="44" spans="1:29">
      <c r="A44" s="13" t="s">
        <v>97</v>
      </c>
      <c r="B44" s="13" t="str">
        <f>IF(B41&lt;B42,"Below Opening",L44*C20*(2*C36*C5)^0.5)</f>
        <v>Below Opening</v>
      </c>
      <c r="C44" s="13" t="s">
        <v>168</v>
      </c>
      <c r="D44" s="13">
        <f>L44*C20*(2*C36*C5)^0.5</f>
        <v>7.9601316303861774E-2</v>
      </c>
      <c r="E44" s="16" t="s">
        <v>123</v>
      </c>
      <c r="F44" s="16"/>
      <c r="G44" s="16"/>
      <c r="H44" s="16"/>
      <c r="I44" s="16" t="s">
        <v>100</v>
      </c>
      <c r="J44" s="16"/>
      <c r="K44" s="16"/>
      <c r="L44" s="16">
        <f>'Data Tab Box - Input and Output'!B21</f>
        <v>0.7</v>
      </c>
      <c r="Z44">
        <f t="shared" si="0"/>
        <v>2.8586096404980554E-2</v>
      </c>
      <c r="AA44">
        <v>32</v>
      </c>
      <c r="AB44">
        <f t="shared" si="1"/>
        <v>0.55850536063818546</v>
      </c>
      <c r="AC44">
        <f t="shared" si="2"/>
        <v>0.5299192642332049</v>
      </c>
    </row>
    <row r="45" spans="1:29">
      <c r="A45" s="13"/>
      <c r="B45" s="13"/>
      <c r="C45" s="13"/>
      <c r="D45" s="13"/>
      <c r="E45" s="16"/>
      <c r="F45" s="16"/>
      <c r="G45" s="16"/>
      <c r="H45" s="16"/>
      <c r="Z45">
        <f t="shared" si="0"/>
        <v>3.1319618143101691E-2</v>
      </c>
      <c r="AA45">
        <v>33</v>
      </c>
      <c r="AB45">
        <f t="shared" si="1"/>
        <v>0.57595865315812877</v>
      </c>
      <c r="AC45">
        <f t="shared" si="2"/>
        <v>0.54463903501502708</v>
      </c>
    </row>
    <row r="46" spans="1:29">
      <c r="A46" s="13" t="s">
        <v>53</v>
      </c>
      <c r="B46" s="13">
        <f>IF(B41&gt;C3,D59,IF(B40&lt;0,IF(B41&lt;B42,B43,B44),C29))</f>
        <v>2.5103931764327223E-2</v>
      </c>
      <c r="C46" s="13" t="s">
        <v>99</v>
      </c>
      <c r="D46" s="13"/>
      <c r="E46" s="16"/>
      <c r="F46" s="16"/>
      <c r="G46" s="16"/>
      <c r="H46" s="16"/>
      <c r="Z46">
        <f t="shared" si="0"/>
        <v>3.421904220732519E-2</v>
      </c>
      <c r="AA46">
        <v>34</v>
      </c>
      <c r="AB46">
        <f t="shared" si="1"/>
        <v>0.59341194567807209</v>
      </c>
      <c r="AC46">
        <f t="shared" si="2"/>
        <v>0.5591929034707469</v>
      </c>
    </row>
    <row r="47" spans="1:29">
      <c r="A47" s="13" t="s">
        <v>57</v>
      </c>
      <c r="B47" s="13">
        <f>IF(B46=0,0,IF(B56&gt;0,D59/B57,IF(B41&gt;B42,IF(B40&lt;0,B46/C20,B46/C12),B46/C12)))</f>
        <v>1.7526667621500327</v>
      </c>
      <c r="C47" s="13" t="s">
        <v>59</v>
      </c>
      <c r="D47" s="13"/>
      <c r="E47" s="16"/>
      <c r="F47" s="16"/>
      <c r="G47" s="16"/>
      <c r="H47" s="16"/>
      <c r="Z47">
        <f t="shared" si="0"/>
        <v>3.7288801846969255E-2</v>
      </c>
      <c r="AA47">
        <v>35</v>
      </c>
      <c r="AB47">
        <f t="shared" si="1"/>
        <v>0.6108652381980153</v>
      </c>
      <c r="AC47">
        <f t="shared" si="2"/>
        <v>0.57357643635104605</v>
      </c>
    </row>
    <row r="48" spans="1:29">
      <c r="Z48">
        <f t="shared" si="0"/>
        <v>4.0533278425485486E-2</v>
      </c>
      <c r="AA48">
        <v>36</v>
      </c>
      <c r="AB48">
        <f t="shared" si="1"/>
        <v>0.62831853071795862</v>
      </c>
      <c r="AC48">
        <f t="shared" si="2"/>
        <v>0.58778525229247314</v>
      </c>
    </row>
    <row r="49" spans="1:29">
      <c r="A49" s="122" t="s">
        <v>119</v>
      </c>
      <c r="B49">
        <f>IF(B56&gt;0,B57,IF(B41&lt;B42,C12,IF(B40&lt;0,C20,C12)))</f>
        <v>1.4323277137709686E-2</v>
      </c>
      <c r="Z49">
        <f t="shared" si="0"/>
        <v>4.3956800085853676E-2</v>
      </c>
      <c r="AA49">
        <v>37</v>
      </c>
      <c r="AB49">
        <f t="shared" si="1"/>
        <v>0.64577182323790194</v>
      </c>
      <c r="AC49">
        <f t="shared" si="2"/>
        <v>0.60181502315204827</v>
      </c>
    </row>
    <row r="50" spans="1:29">
      <c r="H50" s="44"/>
      <c r="I50" s="44"/>
      <c r="J50" s="44"/>
      <c r="K50" s="44"/>
      <c r="Z50">
        <f t="shared" si="0"/>
        <v>4.7563640432186971E-2</v>
      </c>
      <c r="AA50">
        <v>38</v>
      </c>
      <c r="AB50">
        <f t="shared" si="1"/>
        <v>0.66322511575784515</v>
      </c>
      <c r="AC50">
        <f t="shared" si="2"/>
        <v>0.61566147532565818</v>
      </c>
    </row>
    <row r="51" spans="1:29" ht="18.75">
      <c r="A51" s="123"/>
      <c r="H51" s="45"/>
      <c r="I51" s="11"/>
      <c r="J51" s="11"/>
      <c r="K51" s="45"/>
      <c r="Z51">
        <f t="shared" si="0"/>
        <v>5.135801722795108E-2</v>
      </c>
      <c r="AA51">
        <v>39</v>
      </c>
      <c r="AB51">
        <f t="shared" si="1"/>
        <v>0.68067840827778847</v>
      </c>
      <c r="AC51">
        <f t="shared" si="2"/>
        <v>0.62932039104983739</v>
      </c>
    </row>
    <row r="52" spans="1:29">
      <c r="I52" s="45"/>
      <c r="J52" s="11"/>
      <c r="K52" s="11"/>
      <c r="L52" s="45"/>
      <c r="Z52">
        <f t="shared" si="0"/>
        <v>5.5344091111192539E-2</v>
      </c>
      <c r="AA52">
        <v>40</v>
      </c>
      <c r="AB52">
        <f t="shared" si="1"/>
        <v>0.69813170079773179</v>
      </c>
      <c r="AC52">
        <f t="shared" si="2"/>
        <v>0.64278760968653925</v>
      </c>
    </row>
    <row r="53" spans="1:29">
      <c r="A53" s="54" t="s">
        <v>132</v>
      </c>
      <c r="B53" s="55"/>
      <c r="C53" s="55"/>
      <c r="D53" s="56"/>
      <c r="E53" s="11"/>
      <c r="F53" s="11"/>
      <c r="G53" s="46"/>
      <c r="I53" s="45"/>
      <c r="J53" s="11"/>
      <c r="K53" s="11"/>
      <c r="L53" s="45"/>
      <c r="Z53">
        <f t="shared" si="0"/>
        <v>5.9525964327167835E-2</v>
      </c>
      <c r="AA53">
        <v>41</v>
      </c>
      <c r="AB53">
        <f t="shared" si="1"/>
        <v>0.715584993317675</v>
      </c>
      <c r="AC53">
        <f t="shared" si="2"/>
        <v>0.65605902899050716</v>
      </c>
    </row>
    <row r="54" spans="1:29">
      <c r="A54" s="57" t="s">
        <v>63</v>
      </c>
      <c r="B54" s="58">
        <f>'Data Tab Box - Input and Output'!D7</f>
        <v>1</v>
      </c>
      <c r="C54" s="55" t="s">
        <v>4</v>
      </c>
      <c r="D54" s="55"/>
      <c r="E54" s="11"/>
      <c r="F54" s="11"/>
      <c r="G54" s="46"/>
      <c r="I54" s="45"/>
      <c r="J54" s="11"/>
      <c r="K54" s="11"/>
      <c r="L54" s="45"/>
      <c r="Z54">
        <f t="shared" si="0"/>
        <v>6.3907679478760193E-2</v>
      </c>
      <c r="AA54">
        <v>42</v>
      </c>
      <c r="AB54">
        <f t="shared" si="1"/>
        <v>0.73303828583761843</v>
      </c>
      <c r="AC54">
        <f t="shared" si="2"/>
        <v>0.66913060635885824</v>
      </c>
    </row>
    <row r="55" spans="1:29">
      <c r="A55" s="57"/>
      <c r="B55" s="58">
        <f>B54/12</f>
        <v>8.3333333333333329E-2</v>
      </c>
      <c r="C55" s="55" t="s">
        <v>5</v>
      </c>
      <c r="D55" s="55"/>
      <c r="E55" s="11"/>
      <c r="F55" s="11"/>
      <c r="G55" s="46"/>
      <c r="I55" s="45"/>
      <c r="J55" s="11"/>
      <c r="K55" s="11"/>
      <c r="L55" s="45"/>
      <c r="Z55">
        <f t="shared" si="0"/>
        <v>6.8493218295063163E-2</v>
      </c>
      <c r="AA55">
        <v>43</v>
      </c>
      <c r="AB55">
        <f t="shared" si="1"/>
        <v>0.75049157835756164</v>
      </c>
      <c r="AC55">
        <f t="shared" si="2"/>
        <v>0.68199836006249848</v>
      </c>
    </row>
    <row r="56" spans="1:29">
      <c r="A56" s="57" t="s">
        <v>133</v>
      </c>
      <c r="B56" s="55">
        <f>IF(B54&lt;C3*12,0,"Over Channel")</f>
        <v>0</v>
      </c>
      <c r="C56" s="55" t="s">
        <v>4</v>
      </c>
      <c r="D56" s="55"/>
      <c r="E56" s="11"/>
      <c r="F56" s="11"/>
      <c r="G56" s="46"/>
      <c r="I56" s="45"/>
      <c r="J56" s="11"/>
      <c r="K56" s="11"/>
      <c r="L56" s="45"/>
      <c r="Z56">
        <f t="shared" si="0"/>
        <v>7.3286500418507705E-2</v>
      </c>
      <c r="AA56">
        <v>44</v>
      </c>
      <c r="AB56">
        <f t="shared" si="1"/>
        <v>0.76794487087750496</v>
      </c>
      <c r="AC56">
        <f t="shared" si="2"/>
        <v>0.69465837045899725</v>
      </c>
    </row>
    <row r="57" spans="1:29">
      <c r="A57" s="57" t="s">
        <v>134</v>
      </c>
      <c r="B57" s="55">
        <f>IF(B40&lt;0,C20,C6)</f>
        <v>4.9087385212340517E-2</v>
      </c>
      <c r="C57" s="55" t="s">
        <v>32</v>
      </c>
      <c r="D57" s="55"/>
      <c r="E57" s="11"/>
      <c r="F57" s="11"/>
      <c r="G57" s="46"/>
      <c r="I57" s="45"/>
      <c r="J57" s="11"/>
      <c r="K57" s="11"/>
      <c r="L57" s="45"/>
      <c r="Z57">
        <f t="shared" si="0"/>
        <v>7.8291382210900817E-2</v>
      </c>
      <c r="AA57">
        <v>45</v>
      </c>
      <c r="AB57">
        <f t="shared" si="1"/>
        <v>0.78539816339744828</v>
      </c>
      <c r="AC57">
        <f t="shared" si="2"/>
        <v>0.70710678118654746</v>
      </c>
    </row>
    <row r="58" spans="1:29">
      <c r="A58" s="57"/>
      <c r="B58" s="55"/>
      <c r="C58" s="55"/>
      <c r="D58" s="55"/>
      <c r="E58" s="11"/>
      <c r="F58" s="11"/>
      <c r="G58" s="46"/>
      <c r="I58" s="45"/>
      <c r="J58" s="11"/>
      <c r="K58" s="11"/>
      <c r="L58" s="45"/>
      <c r="Z58">
        <f t="shared" si="0"/>
        <v>8.3511655578740407E-2</v>
      </c>
      <c r="AA58">
        <v>46</v>
      </c>
      <c r="AB58">
        <f t="shared" si="1"/>
        <v>0.80285145591739149</v>
      </c>
      <c r="AC58">
        <f t="shared" si="2"/>
        <v>0.71933980033865108</v>
      </c>
    </row>
    <row r="59" spans="1:29">
      <c r="A59" s="59" t="s">
        <v>97</v>
      </c>
      <c r="B59" s="59">
        <f>IF(B56=0,0,"Above Channel")</f>
        <v>0</v>
      </c>
      <c r="C59" s="59" t="s">
        <v>168</v>
      </c>
      <c r="D59" s="59">
        <f>IF(B40&lt;0,D44,L59*B57*(2*C36*B55)^0.5)</f>
        <v>7.9601316303861774E-2</v>
      </c>
      <c r="E59" s="16" t="s">
        <v>123</v>
      </c>
      <c r="F59" s="16"/>
      <c r="G59" s="16"/>
      <c r="H59" s="16"/>
      <c r="I59" s="16" t="s">
        <v>100</v>
      </c>
      <c r="J59" s="16"/>
      <c r="K59" s="16"/>
      <c r="L59" s="16">
        <f>'Data Tab Box - Input and Output'!B21</f>
        <v>0.7</v>
      </c>
      <c r="Z59">
        <f t="shared" si="0"/>
        <v>8.8951046818164459E-2</v>
      </c>
      <c r="AA59">
        <v>47</v>
      </c>
      <c r="AB59">
        <f t="shared" si="1"/>
        <v>0.82030474843733492</v>
      </c>
      <c r="AC59">
        <f t="shared" si="2"/>
        <v>0.73135370161917046</v>
      </c>
    </row>
    <row r="60" spans="1:29">
      <c r="A60" s="44"/>
      <c r="E60" s="11"/>
      <c r="F60" s="11"/>
      <c r="G60" s="46"/>
      <c r="I60" s="45"/>
      <c r="J60" s="11"/>
      <c r="K60" s="11"/>
      <c r="L60" s="45"/>
      <c r="Z60">
        <f t="shared" si="0"/>
        <v>9.4613215479883994E-2</v>
      </c>
      <c r="AA60">
        <v>48</v>
      </c>
      <c r="AB60">
        <f t="shared" si="1"/>
        <v>0.83775804095727813</v>
      </c>
      <c r="AC60">
        <f t="shared" si="2"/>
        <v>0.74314482547739413</v>
      </c>
    </row>
    <row r="61" spans="1:29">
      <c r="A61" s="44"/>
      <c r="E61" s="11"/>
      <c r="F61" s="11"/>
      <c r="G61" s="46"/>
      <c r="I61" s="45"/>
      <c r="J61" s="11"/>
      <c r="K61" s="11"/>
      <c r="L61" s="45"/>
      <c r="Z61">
        <f t="shared" si="0"/>
        <v>0.10050175325444943</v>
      </c>
      <c r="AA61">
        <v>49</v>
      </c>
      <c r="AB61">
        <f t="shared" si="1"/>
        <v>0.85521133347722145</v>
      </c>
      <c r="AC61">
        <f t="shared" si="2"/>
        <v>0.75470958022277201</v>
      </c>
    </row>
    <row r="62" spans="1:29">
      <c r="A62" s="44"/>
      <c r="E62" s="11"/>
      <c r="F62" s="11"/>
      <c r="G62" s="46"/>
      <c r="I62" s="45"/>
      <c r="J62" s="11"/>
      <c r="K62" s="11"/>
      <c r="L62" s="45"/>
      <c r="Z62">
        <f t="shared" si="0"/>
        <v>0.10662018287818675</v>
      </c>
      <c r="AA62">
        <v>50</v>
      </c>
      <c r="AB62">
        <f t="shared" si="1"/>
        <v>0.87266462599716477</v>
      </c>
      <c r="AC62">
        <f t="shared" si="2"/>
        <v>0.76604444311897801</v>
      </c>
    </row>
    <row r="63" spans="1:29">
      <c r="A63" s="44"/>
      <c r="E63" s="11"/>
      <c r="F63" s="11"/>
      <c r="G63" s="46"/>
      <c r="I63" s="45"/>
      <c r="J63" s="11"/>
      <c r="K63" s="11"/>
      <c r="L63" s="45"/>
      <c r="Z63">
        <f t="shared" si="0"/>
        <v>0.11297195706013718</v>
      </c>
      <c r="AA63">
        <v>51</v>
      </c>
      <c r="AB63">
        <f t="shared" si="1"/>
        <v>0.89011791851710798</v>
      </c>
      <c r="AC63">
        <f t="shared" si="2"/>
        <v>0.77714596145697079</v>
      </c>
    </row>
    <row r="64" spans="1:29">
      <c r="A64" s="44"/>
      <c r="E64" s="11"/>
      <c r="F64" s="11"/>
      <c r="G64" s="46"/>
      <c r="I64" s="45"/>
      <c r="J64" s="11"/>
      <c r="K64" s="11"/>
      <c r="L64" s="45"/>
      <c r="Z64">
        <f t="shared" si="0"/>
        <v>0.11956045743032939</v>
      </c>
      <c r="AA64">
        <v>52</v>
      </c>
      <c r="AB64">
        <f t="shared" si="1"/>
        <v>0.90757121103705141</v>
      </c>
      <c r="AC64">
        <f t="shared" si="2"/>
        <v>0.78801075360672201</v>
      </c>
    </row>
    <row r="65" spans="1:29">
      <c r="A65" s="44"/>
      <c r="E65" s="11"/>
      <c r="F65" s="11"/>
      <c r="G65" s="46"/>
      <c r="I65" s="45"/>
      <c r="J65" s="11"/>
      <c r="K65" s="11"/>
      <c r="L65" s="45"/>
      <c r="Z65">
        <f t="shared" si="0"/>
        <v>0.12638899350970179</v>
      </c>
      <c r="AA65">
        <v>53</v>
      </c>
      <c r="AB65">
        <f t="shared" si="1"/>
        <v>0.92502450355699462</v>
      </c>
      <c r="AC65">
        <f t="shared" si="2"/>
        <v>0.79863551004729283</v>
      </c>
    </row>
    <row r="66" spans="1:29">
      <c r="A66" s="10" t="s">
        <v>264</v>
      </c>
      <c r="B66" s="3"/>
      <c r="C66" s="3"/>
      <c r="D66" s="3"/>
      <c r="F66" s="11"/>
      <c r="G66" s="46"/>
      <c r="I66" s="45"/>
      <c r="J66" s="11"/>
      <c r="K66" s="11"/>
      <c r="L66" s="45"/>
      <c r="Z66">
        <f t="shared" si="0"/>
        <v>0.13346080170199048</v>
      </c>
      <c r="AA66">
        <v>54</v>
      </c>
      <c r="AB66">
        <f t="shared" si="1"/>
        <v>0.94247779607693793</v>
      </c>
      <c r="AC66">
        <f t="shared" si="2"/>
        <v>0.80901699437494745</v>
      </c>
    </row>
    <row r="67" spans="1:29">
      <c r="A67" s="3" t="s">
        <v>88</v>
      </c>
      <c r="B67" s="3" t="s">
        <v>64</v>
      </c>
      <c r="C67" s="264">
        <f>'Data Tab Box - Input and Output'!D19</f>
        <v>24</v>
      </c>
      <c r="D67" s="3" t="s">
        <v>5</v>
      </c>
      <c r="E67" s="42" t="s">
        <v>125</v>
      </c>
      <c r="F67" s="11"/>
      <c r="G67" s="46"/>
      <c r="I67" s="45"/>
      <c r="J67" s="11"/>
      <c r="K67" s="11"/>
      <c r="L67" s="45"/>
      <c r="Z67">
        <f t="shared" si="0"/>
        <v>0.14077904430788946</v>
      </c>
      <c r="AA67">
        <v>55</v>
      </c>
      <c r="AB67">
        <f t="shared" si="1"/>
        <v>0.95993108859688125</v>
      </c>
      <c r="AC67">
        <f t="shared" si="2"/>
        <v>0.8191520442889918</v>
      </c>
    </row>
    <row r="68" spans="1:29">
      <c r="A68" s="3" t="s">
        <v>87</v>
      </c>
      <c r="B68" s="3"/>
      <c r="C68" s="3" t="e">
        <f>2*ACOS((C54-C67)/C54)</f>
        <v>#VALUE!</v>
      </c>
      <c r="D68" s="3" t="s">
        <v>29</v>
      </c>
      <c r="F68" s="11"/>
      <c r="G68" s="46"/>
      <c r="I68" s="45"/>
      <c r="J68" s="11"/>
      <c r="K68" s="11"/>
      <c r="L68" s="45"/>
      <c r="Z68">
        <f t="shared" si="0"/>
        <v>0.14834680856178284</v>
      </c>
      <c r="AA68">
        <v>56</v>
      </c>
      <c r="AB68">
        <f t="shared" si="1"/>
        <v>0.97738438111682457</v>
      </c>
      <c r="AC68">
        <f t="shared" si="2"/>
        <v>0.82903757255504174</v>
      </c>
    </row>
    <row r="69" spans="1:29">
      <c r="A69" s="3"/>
      <c r="B69" s="3"/>
      <c r="C69" s="3" t="e">
        <f>C68*180/PI()</f>
        <v>#VALUE!</v>
      </c>
      <c r="D69" s="3" t="s">
        <v>9</v>
      </c>
      <c r="F69" s="11"/>
      <c r="G69" s="46"/>
      <c r="I69" s="45"/>
      <c r="J69" s="11"/>
      <c r="K69" s="11"/>
      <c r="L69" s="45"/>
      <c r="Z69">
        <f t="shared" si="0"/>
        <v>0.15616710569134384</v>
      </c>
      <c r="AA69">
        <v>57</v>
      </c>
      <c r="AB69">
        <f t="shared" si="1"/>
        <v>0.99483767363676778</v>
      </c>
      <c r="AC69">
        <f t="shared" si="2"/>
        <v>0.83867056794542394</v>
      </c>
    </row>
    <row r="70" spans="1:29">
      <c r="A70" s="3" t="s">
        <v>121</v>
      </c>
      <c r="B70" s="3"/>
      <c r="C70" s="3" t="e">
        <f>C54^2*(C68-SIN(C68))/2</f>
        <v>#VALUE!</v>
      </c>
      <c r="D70" s="3" t="s">
        <v>32</v>
      </c>
      <c r="F70" s="11"/>
      <c r="G70" s="46"/>
      <c r="I70" s="45"/>
      <c r="J70" s="11"/>
      <c r="K70" s="11"/>
      <c r="L70" s="45"/>
      <c r="Z70">
        <f t="shared" si="0"/>
        <v>0.16424287000028526</v>
      </c>
      <c r="AA70">
        <v>58</v>
      </c>
      <c r="AB70">
        <f t="shared" si="1"/>
        <v>1.0122909661567112</v>
      </c>
      <c r="AC70">
        <f t="shared" si="2"/>
        <v>0.84804809615642596</v>
      </c>
    </row>
    <row r="71" spans="1:29">
      <c r="A71" s="3" t="s">
        <v>89</v>
      </c>
      <c r="B71" s="3"/>
      <c r="C71" s="3" t="str">
        <f>IF(C55&gt;C53,C56,C62-C70)</f>
        <v>inches</v>
      </c>
      <c r="D71" s="3" t="s">
        <v>32</v>
      </c>
      <c r="F71" s="11"/>
      <c r="G71" s="46"/>
      <c r="I71" s="45"/>
      <c r="J71" s="11"/>
      <c r="K71" s="11"/>
      <c r="L71" s="45"/>
      <c r="Z71">
        <f t="shared" si="0"/>
        <v>0.17257695797454209</v>
      </c>
      <c r="AA71">
        <v>59</v>
      </c>
      <c r="AB71">
        <f t="shared" si="1"/>
        <v>1.0297442586766543</v>
      </c>
      <c r="AC71">
        <f t="shared" si="2"/>
        <v>0.85716730070211222</v>
      </c>
    </row>
    <row r="72" spans="1:29">
      <c r="A72" s="44"/>
      <c r="E72" s="11"/>
      <c r="F72" s="11"/>
      <c r="G72" s="46"/>
      <c r="I72" s="45"/>
      <c r="J72" s="11"/>
      <c r="K72" s="11"/>
      <c r="L72" s="45"/>
      <c r="Z72">
        <f t="shared" si="0"/>
        <v>0.18117214741215903</v>
      </c>
      <c r="AA72">
        <v>60</v>
      </c>
      <c r="AB72">
        <f t="shared" si="1"/>
        <v>1.0471975511965976</v>
      </c>
      <c r="AC72">
        <f t="shared" si="2"/>
        <v>0.8660254037844386</v>
      </c>
    </row>
    <row r="73" spans="1:29">
      <c r="A73" s="44"/>
      <c r="E73" s="11"/>
      <c r="F73" s="11"/>
      <c r="G73" s="46"/>
      <c r="I73" s="45"/>
      <c r="J73" s="11"/>
      <c r="K73" s="11"/>
      <c r="L73" s="45"/>
      <c r="Z73">
        <f t="shared" si="0"/>
        <v>0.19003113657714521</v>
      </c>
      <c r="AA73">
        <v>61</v>
      </c>
      <c r="AB73">
        <f t="shared" si="1"/>
        <v>1.064650843716541</v>
      </c>
      <c r="AC73">
        <f t="shared" si="2"/>
        <v>0.87461970713939574</v>
      </c>
    </row>
    <row r="74" spans="1:29">
      <c r="A74" s="44"/>
      <c r="E74" s="11"/>
      <c r="F74" s="11"/>
      <c r="G74" s="46"/>
      <c r="I74" s="45"/>
      <c r="J74" s="11"/>
      <c r="K74" s="11"/>
      <c r="L74" s="45"/>
      <c r="Z74">
        <f t="shared" si="0"/>
        <v>0.19915654337755739</v>
      </c>
      <c r="AA74">
        <v>62</v>
      </c>
      <c r="AB74">
        <f t="shared" si="1"/>
        <v>1.0821041362364843</v>
      </c>
      <c r="AC74">
        <f t="shared" si="2"/>
        <v>0.88294759285892688</v>
      </c>
    </row>
    <row r="75" spans="1:29">
      <c r="A75" s="44"/>
      <c r="E75" s="11"/>
      <c r="F75" s="11"/>
      <c r="G75" s="46"/>
      <c r="I75" s="45"/>
      <c r="J75" s="11"/>
      <c r="K75" s="11"/>
      <c r="L75" s="45"/>
      <c r="Z75">
        <f t="shared" si="0"/>
        <v>0.2085509045680598</v>
      </c>
      <c r="AA75">
        <v>63</v>
      </c>
      <c r="AB75">
        <f t="shared" si="1"/>
        <v>1.0995574287564276</v>
      </c>
      <c r="AC75">
        <f t="shared" si="2"/>
        <v>0.89100652418836779</v>
      </c>
    </row>
    <row r="76" spans="1:29">
      <c r="A76" s="44"/>
      <c r="E76" s="11"/>
      <c r="F76" s="11"/>
      <c r="G76" s="46"/>
      <c r="I76" s="45"/>
      <c r="J76" s="11"/>
      <c r="K76" s="11"/>
      <c r="L76" s="45"/>
      <c r="Z76">
        <f t="shared" si="0"/>
        <v>0.21821667497720387</v>
      </c>
      <c r="AA76">
        <v>64</v>
      </c>
      <c r="AB76">
        <f t="shared" si="1"/>
        <v>1.1170107212763709</v>
      </c>
      <c r="AC76">
        <f t="shared" si="2"/>
        <v>0.89879404629916704</v>
      </c>
    </row>
    <row r="77" spans="1:29">
      <c r="A77" s="44"/>
      <c r="E77" s="11"/>
      <c r="F77" s="11"/>
      <c r="G77" s="46"/>
      <c r="I77" s="45"/>
      <c r="J77" s="11"/>
      <c r="K77" s="11"/>
      <c r="L77" s="45"/>
      <c r="Z77">
        <f t="shared" ref="Z77:Z140" si="3">AB77-SIN(AB77)</f>
        <v>0.22815622675966429</v>
      </c>
      <c r="AA77">
        <v>65</v>
      </c>
      <c r="AB77">
        <f t="shared" ref="AB77:AB140" si="4">AA77*PI()/180</f>
        <v>1.1344640137963142</v>
      </c>
      <c r="AC77">
        <f t="shared" ref="AC77:AC140" si="5">SIN(AB77)</f>
        <v>0.90630778703664994</v>
      </c>
    </row>
    <row r="78" spans="1:29">
      <c r="A78" s="44"/>
      <c r="E78" s="11"/>
      <c r="F78" s="11"/>
      <c r="G78" s="46"/>
      <c r="I78" s="45"/>
      <c r="J78" s="11"/>
      <c r="K78" s="11"/>
      <c r="L78" s="45"/>
      <c r="Z78">
        <f t="shared" si="3"/>
        <v>0.23837184867365668</v>
      </c>
      <c r="AA78">
        <v>66</v>
      </c>
      <c r="AB78">
        <f t="shared" si="4"/>
        <v>1.1519173063162575</v>
      </c>
      <c r="AC78">
        <f t="shared" si="5"/>
        <v>0.91354545764260087</v>
      </c>
    </row>
    <row r="79" spans="1:29">
      <c r="A79" s="44"/>
      <c r="E79" s="11"/>
      <c r="F79" s="11"/>
      <c r="G79" s="46"/>
      <c r="I79" s="45"/>
      <c r="J79" s="11"/>
      <c r="K79" s="11"/>
      <c r="L79" s="45"/>
      <c r="Z79">
        <f t="shared" si="3"/>
        <v>0.24886574538376038</v>
      </c>
      <c r="AA79">
        <v>67</v>
      </c>
      <c r="AB79">
        <f t="shared" si="4"/>
        <v>1.1693705988362006</v>
      </c>
      <c r="AC79">
        <f t="shared" si="5"/>
        <v>0.92050485345244026</v>
      </c>
    </row>
    <row r="80" spans="1:29">
      <c r="A80" s="44"/>
      <c r="E80" s="11"/>
      <c r="F80" s="11"/>
      <c r="G80" s="46"/>
      <c r="I80" s="45"/>
      <c r="J80" s="11"/>
      <c r="K80" s="11"/>
      <c r="L80" s="45"/>
      <c r="Z80">
        <f t="shared" si="3"/>
        <v>0.25964003678935677</v>
      </c>
      <c r="AA80">
        <v>68</v>
      </c>
      <c r="AB80">
        <f t="shared" si="4"/>
        <v>1.1868238913561442</v>
      </c>
      <c r="AC80">
        <f t="shared" si="5"/>
        <v>0.92718385456678742</v>
      </c>
    </row>
    <row r="81" spans="1:29">
      <c r="A81" s="44"/>
      <c r="E81" s="11"/>
      <c r="F81" s="11"/>
      <c r="G81" s="46"/>
      <c r="I81" s="45"/>
      <c r="J81" s="11"/>
      <c r="K81" s="11"/>
      <c r="L81" s="45"/>
      <c r="Z81">
        <f t="shared" si="3"/>
        <v>0.27069675737888554</v>
      </c>
      <c r="AA81">
        <v>69</v>
      </c>
      <c r="AB81">
        <f t="shared" si="4"/>
        <v>1.2042771838760873</v>
      </c>
      <c r="AC81">
        <f t="shared" si="5"/>
        <v>0.93358042649720174</v>
      </c>
    </row>
    <row r="82" spans="1:29">
      <c r="A82" s="44"/>
      <c r="E82" s="11"/>
      <c r="F82" s="11"/>
      <c r="G82" s="46"/>
      <c r="I82" s="45"/>
      <c r="J82" s="11"/>
      <c r="K82" s="11"/>
      <c r="L82" s="45"/>
      <c r="Z82">
        <f t="shared" si="3"/>
        <v>0.28203785561012229</v>
      </c>
      <c r="AA82">
        <v>70</v>
      </c>
      <c r="AB82">
        <f t="shared" si="4"/>
        <v>1.2217304763960306</v>
      </c>
      <c r="AC82">
        <f t="shared" si="5"/>
        <v>0.93969262078590832</v>
      </c>
    </row>
    <row r="83" spans="1:29">
      <c r="A83" s="44"/>
      <c r="E83" s="11"/>
      <c r="F83" s="11"/>
      <c r="G83" s="46"/>
      <c r="I83" s="45"/>
      <c r="J83" s="11"/>
      <c r="K83" s="11"/>
      <c r="L83" s="45"/>
      <c r="Z83">
        <f t="shared" si="3"/>
        <v>0.29366519331665719</v>
      </c>
      <c r="AA83">
        <v>71</v>
      </c>
      <c r="AB83">
        <f t="shared" si="4"/>
        <v>1.2391837689159739</v>
      </c>
      <c r="AC83">
        <f t="shared" si="5"/>
        <v>0.94551857559931674</v>
      </c>
    </row>
    <row r="84" spans="1:29">
      <c r="A84" s="44"/>
      <c r="E84" s="11"/>
      <c r="F84" s="11"/>
      <c r="G84" s="46"/>
      <c r="I84" s="45"/>
      <c r="J84" s="11"/>
      <c r="K84" s="11"/>
      <c r="L84" s="45"/>
      <c r="Z84">
        <f t="shared" si="3"/>
        <v>0.30558054514076372</v>
      </c>
      <c r="AA84">
        <v>72</v>
      </c>
      <c r="AB84">
        <f t="shared" si="4"/>
        <v>1.2566370614359172</v>
      </c>
      <c r="AC84">
        <f t="shared" si="5"/>
        <v>0.95105651629515353</v>
      </c>
    </row>
    <row r="85" spans="1:29">
      <c r="A85" s="44"/>
      <c r="E85" s="11"/>
      <c r="F85" s="11"/>
      <c r="G85" s="46"/>
      <c r="I85" s="45"/>
      <c r="J85" s="11"/>
      <c r="K85" s="11"/>
      <c r="L85" s="45"/>
      <c r="Z85">
        <f t="shared" si="3"/>
        <v>0.31778559799282513</v>
      </c>
      <c r="AA85">
        <v>73</v>
      </c>
      <c r="AB85">
        <f t="shared" si="4"/>
        <v>1.2740903539558606</v>
      </c>
      <c r="AC85">
        <f t="shared" si="5"/>
        <v>0.95630475596303544</v>
      </c>
    </row>
    <row r="86" spans="1:29">
      <c r="A86" s="44"/>
      <c r="E86" s="11"/>
      <c r="F86" s="11"/>
      <c r="G86" s="46"/>
      <c r="I86" s="45"/>
      <c r="J86" s="11"/>
      <c r="K86" s="11"/>
      <c r="L86" s="45"/>
      <c r="Z86">
        <f t="shared" si="3"/>
        <v>0.33028195053748499</v>
      </c>
      <c r="AA86">
        <v>74</v>
      </c>
      <c r="AB86">
        <f t="shared" si="4"/>
        <v>1.2915436464758039</v>
      </c>
      <c r="AC86">
        <f t="shared" si="5"/>
        <v>0.96126169593831889</v>
      </c>
    </row>
    <row r="87" spans="1:29">
      <c r="A87" s="44"/>
      <c r="E87" s="11"/>
      <c r="F87" s="11"/>
      <c r="G87" s="46"/>
      <c r="Z87">
        <f t="shared" si="3"/>
        <v>0.34307111270667889</v>
      </c>
      <c r="AA87">
        <v>75</v>
      </c>
      <c r="AB87">
        <f t="shared" si="4"/>
        <v>1.3089969389957472</v>
      </c>
      <c r="AC87">
        <f t="shared" si="5"/>
        <v>0.96592582628906831</v>
      </c>
    </row>
    <row r="88" spans="1:29">
      <c r="A88" s="44"/>
      <c r="E88" s="11"/>
      <c r="F88" s="11"/>
      <c r="G88" s="46"/>
      <c r="Z88">
        <f t="shared" si="3"/>
        <v>0.35615450523969383</v>
      </c>
      <c r="AA88">
        <v>76</v>
      </c>
      <c r="AB88">
        <f t="shared" si="4"/>
        <v>1.3264502315156903</v>
      </c>
      <c r="AC88">
        <f t="shared" si="5"/>
        <v>0.97029572627599647</v>
      </c>
    </row>
    <row r="89" spans="1:29">
      <c r="A89" s="44"/>
      <c r="E89" s="11"/>
      <c r="F89" s="11"/>
      <c r="G89" s="46"/>
      <c r="Z89">
        <f t="shared" si="3"/>
        <v>0.3695334592503986</v>
      </c>
      <c r="AA89">
        <v>77</v>
      </c>
      <c r="AB89">
        <f t="shared" si="4"/>
        <v>1.3439035240356338</v>
      </c>
      <c r="AC89">
        <f t="shared" si="5"/>
        <v>0.97437006478523525</v>
      </c>
    </row>
    <row r="90" spans="1:29">
      <c r="A90" s="44"/>
      <c r="E90" s="11"/>
      <c r="F90" s="11"/>
      <c r="G90" s="46"/>
      <c r="Z90">
        <f t="shared" si="3"/>
        <v>0.38320921582177137</v>
      </c>
      <c r="AA90">
        <v>78</v>
      </c>
      <c r="AB90">
        <f t="shared" si="4"/>
        <v>1.3613568165555769</v>
      </c>
      <c r="AC90">
        <f t="shared" si="5"/>
        <v>0.97814760073380558</v>
      </c>
    </row>
    <row r="91" spans="1:29">
      <c r="A91" s="44"/>
      <c r="E91" s="11"/>
      <c r="F91" s="11"/>
      <c r="G91" s="46"/>
      <c r="Z91">
        <f t="shared" si="3"/>
        <v>0.39718292562785629</v>
      </c>
      <c r="AA91">
        <v>79</v>
      </c>
      <c r="AB91">
        <f t="shared" si="4"/>
        <v>1.3788101090755203</v>
      </c>
      <c r="AC91">
        <f t="shared" si="5"/>
        <v>0.98162718344766398</v>
      </c>
    </row>
    <row r="92" spans="1:29">
      <c r="Z92">
        <f t="shared" si="3"/>
        <v>0.41145564858325556</v>
      </c>
      <c r="AA92">
        <v>80</v>
      </c>
      <c r="AB92">
        <f t="shared" si="4"/>
        <v>1.3962634015954636</v>
      </c>
      <c r="AC92">
        <f t="shared" si="5"/>
        <v>0.98480775301220802</v>
      </c>
    </row>
    <row r="93" spans="1:29">
      <c r="Z93">
        <f t="shared" si="3"/>
        <v>0.42602835352026913</v>
      </c>
      <c r="AA93">
        <v>81</v>
      </c>
      <c r="AB93">
        <f t="shared" si="4"/>
        <v>1.4137166941154069</v>
      </c>
      <c r="AC93">
        <f t="shared" si="5"/>
        <v>0.98768834059513777</v>
      </c>
    </row>
    <row r="94" spans="1:29">
      <c r="Z94">
        <f t="shared" si="3"/>
        <v>0.44090191789377975</v>
      </c>
      <c r="AA94">
        <v>82</v>
      </c>
      <c r="AB94">
        <f t="shared" si="4"/>
        <v>1.43116998663535</v>
      </c>
      <c r="AC94">
        <f t="shared" si="5"/>
        <v>0.99026806874157025</v>
      </c>
    </row>
    <row r="95" spans="1:29">
      <c r="Z95">
        <f t="shared" si="3"/>
        <v>0.45607712751397156</v>
      </c>
      <c r="AA95">
        <v>83</v>
      </c>
      <c r="AB95">
        <f t="shared" si="4"/>
        <v>1.4486232791552935</v>
      </c>
      <c r="AC95">
        <f t="shared" si="5"/>
        <v>0.99254615164132198</v>
      </c>
    </row>
    <row r="96" spans="1:29">
      <c r="Z96">
        <f t="shared" si="3"/>
        <v>0.47155467630696357</v>
      </c>
      <c r="AA96">
        <v>84</v>
      </c>
      <c r="AB96">
        <f t="shared" si="4"/>
        <v>1.4660765716752369</v>
      </c>
      <c r="AC96">
        <f t="shared" si="5"/>
        <v>0.99452189536827329</v>
      </c>
    </row>
    <row r="97" spans="26:29">
      <c r="Z97">
        <f t="shared" si="3"/>
        <v>0.48733516610343464</v>
      </c>
      <c r="AA97">
        <v>85</v>
      </c>
      <c r="AB97">
        <f t="shared" si="4"/>
        <v>1.4835298641951802</v>
      </c>
      <c r="AC97">
        <f t="shared" si="5"/>
        <v>0.99619469809174555</v>
      </c>
    </row>
    <row r="98" spans="26:29">
      <c r="Z98">
        <f t="shared" si="3"/>
        <v>0.50341910645529908</v>
      </c>
      <c r="AA98">
        <v>86</v>
      </c>
      <c r="AB98">
        <f t="shared" si="4"/>
        <v>1.5009831567151233</v>
      </c>
      <c r="AC98">
        <f t="shared" si="5"/>
        <v>0.9975640502598242</v>
      </c>
    </row>
    <row r="99" spans="26:29">
      <c r="Z99">
        <f t="shared" si="3"/>
        <v>0.51980691448049277</v>
      </c>
      <c r="AA99">
        <v>87</v>
      </c>
      <c r="AB99">
        <f t="shared" si="4"/>
        <v>1.5184364492350666</v>
      </c>
      <c r="AC99">
        <f t="shared" si="5"/>
        <v>0.99862953475457383</v>
      </c>
    </row>
    <row r="100" spans="26:29">
      <c r="Z100">
        <f t="shared" si="3"/>
        <v>0.53649891473591416</v>
      </c>
      <c r="AA100">
        <v>88</v>
      </c>
      <c r="AB100">
        <f t="shared" si="4"/>
        <v>1.5358897417550099</v>
      </c>
      <c r="AC100">
        <f t="shared" si="5"/>
        <v>0.99939082701909576</v>
      </c>
    </row>
    <row r="101" spans="26:29">
      <c r="Z101">
        <f t="shared" si="3"/>
        <v>0.55349533911856219</v>
      </c>
      <c r="AA101">
        <v>89</v>
      </c>
      <c r="AB101">
        <f t="shared" si="4"/>
        <v>1.5533430342749535</v>
      </c>
      <c r="AC101">
        <f t="shared" si="5"/>
        <v>0.99984769515639127</v>
      </c>
    </row>
    <row r="102" spans="26:29">
      <c r="Z102">
        <f t="shared" si="3"/>
        <v>0.57079632679489656</v>
      </c>
      <c r="AA102">
        <v>90</v>
      </c>
      <c r="AB102">
        <f t="shared" si="4"/>
        <v>1.5707963267948966</v>
      </c>
      <c r="AC102">
        <f t="shared" si="5"/>
        <v>1</v>
      </c>
    </row>
    <row r="103" spans="26:29">
      <c r="Z103">
        <f t="shared" si="3"/>
        <v>0.58840192415844861</v>
      </c>
      <c r="AA103">
        <v>91</v>
      </c>
      <c r="AB103">
        <f t="shared" si="4"/>
        <v>1.5882496193148399</v>
      </c>
      <c r="AC103">
        <f t="shared" si="5"/>
        <v>0.99984769515639127</v>
      </c>
    </row>
    <row r="104" spans="26:29">
      <c r="Z104">
        <f t="shared" si="3"/>
        <v>0.60631208481568721</v>
      </c>
      <c r="AA104">
        <v>92</v>
      </c>
      <c r="AB104">
        <f t="shared" si="4"/>
        <v>1.605702911834783</v>
      </c>
      <c r="AC104">
        <f t="shared" si="5"/>
        <v>0.99939082701909576</v>
      </c>
    </row>
    <row r="105" spans="26:29">
      <c r="Z105">
        <f t="shared" si="3"/>
        <v>0.62452666960015246</v>
      </c>
      <c r="AA105">
        <v>93</v>
      </c>
      <c r="AB105">
        <f t="shared" si="4"/>
        <v>1.6231562043547263</v>
      </c>
      <c r="AC105">
        <f t="shared" si="5"/>
        <v>0.99862953475457383</v>
      </c>
    </row>
    <row r="106" spans="26:29">
      <c r="Z106">
        <f t="shared" si="3"/>
        <v>0.64304544661484564</v>
      </c>
      <c r="AA106">
        <v>94</v>
      </c>
      <c r="AB106">
        <f t="shared" si="4"/>
        <v>1.6406094968746698</v>
      </c>
      <c r="AC106">
        <f t="shared" si="5"/>
        <v>0.9975640502598242</v>
      </c>
    </row>
    <row r="107" spans="26:29">
      <c r="Z107">
        <f t="shared" si="3"/>
        <v>0.66186809130286761</v>
      </c>
      <c r="AA107">
        <v>95</v>
      </c>
      <c r="AB107">
        <f t="shared" si="4"/>
        <v>1.6580627893946132</v>
      </c>
      <c r="AC107">
        <f t="shared" si="5"/>
        <v>0.99619469809174555</v>
      </c>
    </row>
    <row r="108" spans="26:29">
      <c r="Z108">
        <f t="shared" si="3"/>
        <v>0.68099418654628285</v>
      </c>
      <c r="AA108">
        <v>96</v>
      </c>
      <c r="AB108">
        <f t="shared" si="4"/>
        <v>1.6755160819145563</v>
      </c>
      <c r="AC108">
        <f t="shared" si="5"/>
        <v>0.9945218953682734</v>
      </c>
    </row>
    <row r="109" spans="26:29">
      <c r="Z109">
        <f t="shared" si="3"/>
        <v>0.70042322279317748</v>
      </c>
      <c r="AA109">
        <v>97</v>
      </c>
      <c r="AB109">
        <f t="shared" si="4"/>
        <v>1.6929693744344996</v>
      </c>
      <c r="AC109">
        <f t="shared" si="5"/>
        <v>0.99254615164132209</v>
      </c>
    </row>
    <row r="110" spans="26:29">
      <c r="Z110">
        <f t="shared" si="3"/>
        <v>0.72015459821287253</v>
      </c>
      <c r="AA110">
        <v>98</v>
      </c>
      <c r="AB110">
        <f t="shared" si="4"/>
        <v>1.7104226669544429</v>
      </c>
      <c r="AC110">
        <f t="shared" si="5"/>
        <v>0.99026806874157036</v>
      </c>
    </row>
    <row r="111" spans="26:29">
      <c r="Z111">
        <f t="shared" si="3"/>
        <v>0.74018761887924878</v>
      </c>
      <c r="AA111">
        <v>99</v>
      </c>
      <c r="AB111">
        <f t="shared" si="4"/>
        <v>1.7278759594743864</v>
      </c>
      <c r="AC111">
        <f t="shared" si="5"/>
        <v>0.98768834059513766</v>
      </c>
    </row>
    <row r="112" spans="26:29">
      <c r="Z112">
        <f t="shared" si="3"/>
        <v>0.76052149898212151</v>
      </c>
      <c r="AA112">
        <v>100</v>
      </c>
      <c r="AB112">
        <f t="shared" si="4"/>
        <v>1.7453292519943295</v>
      </c>
      <c r="AC112">
        <f t="shared" si="5"/>
        <v>0.98480775301220802</v>
      </c>
    </row>
    <row r="113" spans="26:29">
      <c r="Z113">
        <f t="shared" si="3"/>
        <v>0.78115536106660888</v>
      </c>
      <c r="AA113">
        <v>101</v>
      </c>
      <c r="AB113">
        <f t="shared" si="4"/>
        <v>1.7627825445142729</v>
      </c>
      <c r="AC113">
        <f t="shared" si="5"/>
        <v>0.98162718344766398</v>
      </c>
    </row>
    <row r="114" spans="26:29">
      <c r="Z114">
        <f t="shared" si="3"/>
        <v>0.80208823630041026</v>
      </c>
      <c r="AA114">
        <v>102</v>
      </c>
      <c r="AB114">
        <f t="shared" si="4"/>
        <v>1.780235837034216</v>
      </c>
      <c r="AC114">
        <f t="shared" si="5"/>
        <v>0.97814760073380569</v>
      </c>
    </row>
    <row r="115" spans="26:29">
      <c r="Z115">
        <f t="shared" si="3"/>
        <v>0.82331906476892402</v>
      </c>
      <c r="AA115">
        <v>103</v>
      </c>
      <c r="AB115">
        <f t="shared" si="4"/>
        <v>1.7976891295541593</v>
      </c>
      <c r="AC115">
        <f t="shared" si="5"/>
        <v>0.97437006478523525</v>
      </c>
    </row>
    <row r="116" spans="26:29">
      <c r="Z116">
        <f t="shared" si="3"/>
        <v>0.84484669579810634</v>
      </c>
      <c r="AA116">
        <v>104</v>
      </c>
      <c r="AB116">
        <f t="shared" si="4"/>
        <v>1.8151424220741028</v>
      </c>
      <c r="AC116">
        <f t="shared" si="5"/>
        <v>0.97029572627599647</v>
      </c>
    </row>
    <row r="117" spans="26:29">
      <c r="Z117">
        <f t="shared" si="3"/>
        <v>0.86666988830497782</v>
      </c>
      <c r="AA117">
        <v>105</v>
      </c>
      <c r="AB117">
        <f t="shared" si="4"/>
        <v>1.8325957145940461</v>
      </c>
      <c r="AC117">
        <f t="shared" si="5"/>
        <v>0.96592582628906831</v>
      </c>
    </row>
    <row r="118" spans="26:29">
      <c r="Z118">
        <f t="shared" si="3"/>
        <v>0.88878731117567034</v>
      </c>
      <c r="AA118">
        <v>106</v>
      </c>
      <c r="AB118">
        <f t="shared" si="4"/>
        <v>1.8500490071139892</v>
      </c>
      <c r="AC118">
        <f t="shared" si="5"/>
        <v>0.96126169593831889</v>
      </c>
    </row>
    <row r="119" spans="26:29">
      <c r="Z119">
        <f t="shared" si="3"/>
        <v>0.911197543670897</v>
      </c>
      <c r="AA119">
        <v>107</v>
      </c>
      <c r="AB119">
        <f t="shared" si="4"/>
        <v>1.8675022996339325</v>
      </c>
      <c r="AC119">
        <f t="shared" si="5"/>
        <v>0.95630475596303555</v>
      </c>
    </row>
    <row r="120" spans="26:29">
      <c r="Z120">
        <f t="shared" si="3"/>
        <v>0.93389907585872223</v>
      </c>
      <c r="AA120">
        <v>108</v>
      </c>
      <c r="AB120">
        <f t="shared" si="4"/>
        <v>1.8849555921538759</v>
      </c>
      <c r="AC120">
        <f t="shared" si="5"/>
        <v>0.95105651629515364</v>
      </c>
    </row>
    <row r="121" spans="26:29">
      <c r="Z121">
        <f t="shared" si="3"/>
        <v>0.95689030907450212</v>
      </c>
      <c r="AA121">
        <v>109</v>
      </c>
      <c r="AB121">
        <f t="shared" si="4"/>
        <v>1.902408884673819</v>
      </c>
      <c r="AC121">
        <f t="shared" si="5"/>
        <v>0.94551857559931685</v>
      </c>
    </row>
    <row r="122" spans="26:29">
      <c r="Z122">
        <f t="shared" si="3"/>
        <v>0.98016955640785408</v>
      </c>
      <c r="AA122">
        <v>110</v>
      </c>
      <c r="AB122">
        <f t="shared" si="4"/>
        <v>1.9198621771937625</v>
      </c>
      <c r="AC122">
        <f t="shared" si="5"/>
        <v>0.93969262078590843</v>
      </c>
    </row>
    <row r="123" spans="26:29">
      <c r="Z123">
        <f t="shared" si="3"/>
        <v>1.003735043216504</v>
      </c>
      <c r="AA123">
        <v>111</v>
      </c>
      <c r="AB123">
        <f t="shared" si="4"/>
        <v>1.9373154697137058</v>
      </c>
      <c r="AC123">
        <f t="shared" si="5"/>
        <v>0.93358042649720174</v>
      </c>
    </row>
    <row r="124" spans="26:29">
      <c r="Z124">
        <f t="shared" si="3"/>
        <v>1.0275849076668617</v>
      </c>
      <c r="AA124">
        <v>112</v>
      </c>
      <c r="AB124">
        <f t="shared" si="4"/>
        <v>1.9547687622336491</v>
      </c>
      <c r="AC124">
        <f t="shared" si="5"/>
        <v>0.92718385456678742</v>
      </c>
    </row>
    <row r="125" spans="26:29">
      <c r="Z125">
        <f t="shared" si="3"/>
        <v>1.0517172013011518</v>
      </c>
      <c r="AA125">
        <v>113</v>
      </c>
      <c r="AB125">
        <f t="shared" si="4"/>
        <v>1.9722220547535922</v>
      </c>
      <c r="AC125">
        <f t="shared" si="5"/>
        <v>0.92050485345244037</v>
      </c>
    </row>
    <row r="126" spans="26:29">
      <c r="Z126">
        <f t="shared" si="3"/>
        <v>1.0761298896309346</v>
      </c>
      <c r="AA126">
        <v>114</v>
      </c>
      <c r="AB126">
        <f t="shared" si="4"/>
        <v>1.9896753472735356</v>
      </c>
      <c r="AC126">
        <f t="shared" si="5"/>
        <v>0.91354545764260098</v>
      </c>
    </row>
    <row r="127" spans="26:29">
      <c r="Z127">
        <f t="shared" si="3"/>
        <v>1.1008208527568288</v>
      </c>
      <c r="AA127">
        <v>115</v>
      </c>
      <c r="AB127">
        <f t="shared" si="4"/>
        <v>2.0071286397934789</v>
      </c>
      <c r="AC127">
        <f t="shared" si="5"/>
        <v>0.90630778703665005</v>
      </c>
    </row>
    <row r="128" spans="26:29">
      <c r="Z128">
        <f t="shared" si="3"/>
        <v>1.1257878860142556</v>
      </c>
      <c r="AA128">
        <v>116</v>
      </c>
      <c r="AB128">
        <f t="shared" si="4"/>
        <v>2.0245819323134224</v>
      </c>
      <c r="AC128">
        <f t="shared" si="5"/>
        <v>0.89879404629916693</v>
      </c>
    </row>
    <row r="129" spans="26:29">
      <c r="Z129">
        <f t="shared" si="3"/>
        <v>1.1510287006449977</v>
      </c>
      <c r="AA129">
        <v>117</v>
      </c>
      <c r="AB129">
        <f t="shared" si="4"/>
        <v>2.0420352248333655</v>
      </c>
      <c r="AC129">
        <f t="shared" si="5"/>
        <v>0.8910065241883679</v>
      </c>
    </row>
    <row r="130" spans="26:29">
      <c r="Z130">
        <f t="shared" si="3"/>
        <v>1.1765409244943816</v>
      </c>
      <c r="AA130">
        <v>118</v>
      </c>
      <c r="AB130">
        <f t="shared" si="4"/>
        <v>2.0594885173533086</v>
      </c>
      <c r="AC130">
        <f t="shared" si="5"/>
        <v>0.8829475928589271</v>
      </c>
    </row>
    <row r="131" spans="26:29">
      <c r="Z131">
        <f t="shared" si="3"/>
        <v>1.2023221027338562</v>
      </c>
      <c r="AA131">
        <v>119</v>
      </c>
      <c r="AB131">
        <f t="shared" si="4"/>
        <v>2.0769418098732522</v>
      </c>
      <c r="AC131">
        <f t="shared" si="5"/>
        <v>0.87461970713939585</v>
      </c>
    </row>
    <row r="132" spans="26:29">
      <c r="Z132">
        <f t="shared" si="3"/>
        <v>1.2283696986087564</v>
      </c>
      <c r="AA132">
        <v>120</v>
      </c>
      <c r="AB132">
        <f t="shared" si="4"/>
        <v>2.0943951023931953</v>
      </c>
      <c r="AC132">
        <f t="shared" si="5"/>
        <v>0.86602540378443871</v>
      </c>
    </row>
    <row r="133" spans="26:29">
      <c r="Z133">
        <f t="shared" si="3"/>
        <v>1.2546810942110265</v>
      </c>
      <c r="AA133">
        <v>121</v>
      </c>
      <c r="AB133">
        <f t="shared" si="4"/>
        <v>2.1118483949131388</v>
      </c>
      <c r="AC133">
        <f t="shared" si="5"/>
        <v>0.85716730070211233</v>
      </c>
    </row>
    <row r="134" spans="26:29">
      <c r="Z134">
        <f t="shared" si="3"/>
        <v>1.2812535912766558</v>
      </c>
      <c r="AA134">
        <v>122</v>
      </c>
      <c r="AB134">
        <f t="shared" si="4"/>
        <v>2.1293016874330819</v>
      </c>
      <c r="AC134">
        <f t="shared" si="5"/>
        <v>0.84804809615642607</v>
      </c>
    </row>
    <row r="135" spans="26:29">
      <c r="Z135">
        <f t="shared" si="3"/>
        <v>1.3080844120076014</v>
      </c>
      <c r="AA135">
        <v>123</v>
      </c>
      <c r="AB135">
        <f t="shared" si="4"/>
        <v>2.1467549799530254</v>
      </c>
      <c r="AC135">
        <f t="shared" si="5"/>
        <v>0.83867056794542394</v>
      </c>
    </row>
    <row r="136" spans="26:29">
      <c r="Z136">
        <f t="shared" si="3"/>
        <v>1.3351706999179269</v>
      </c>
      <c r="AA136">
        <v>124</v>
      </c>
      <c r="AB136">
        <f t="shared" si="4"/>
        <v>2.1642082724729685</v>
      </c>
      <c r="AC136">
        <f t="shared" si="5"/>
        <v>0.82903757255504174</v>
      </c>
    </row>
    <row r="137" spans="26:29">
      <c r="Z137">
        <f t="shared" si="3"/>
        <v>1.3625095207039197</v>
      </c>
      <c r="AA137">
        <v>125</v>
      </c>
      <c r="AB137">
        <f t="shared" si="4"/>
        <v>2.1816615649929116</v>
      </c>
      <c r="AC137">
        <f t="shared" si="5"/>
        <v>0.81915204428899202</v>
      </c>
    </row>
    <row r="138" spans="26:29">
      <c r="Z138">
        <f t="shared" si="3"/>
        <v>1.3900978631379077</v>
      </c>
      <c r="AA138">
        <v>126</v>
      </c>
      <c r="AB138">
        <f t="shared" si="4"/>
        <v>2.1991148575128552</v>
      </c>
      <c r="AC138">
        <f t="shared" si="5"/>
        <v>0.80901699437494745</v>
      </c>
    </row>
    <row r="139" spans="26:29">
      <c r="Z139">
        <f t="shared" si="3"/>
        <v>1.4179326399855059</v>
      </c>
      <c r="AA139">
        <v>127</v>
      </c>
      <c r="AB139">
        <f t="shared" si="4"/>
        <v>2.2165681500327987</v>
      </c>
      <c r="AC139">
        <f t="shared" si="5"/>
        <v>0.79863551004729272</v>
      </c>
    </row>
    <row r="140" spans="26:29">
      <c r="Z140">
        <f t="shared" si="3"/>
        <v>1.4460106889460198</v>
      </c>
      <c r="AA140">
        <v>128</v>
      </c>
      <c r="AB140">
        <f t="shared" si="4"/>
        <v>2.2340214425527418</v>
      </c>
      <c r="AC140">
        <f t="shared" si="5"/>
        <v>0.78801075360672201</v>
      </c>
    </row>
    <row r="141" spans="26:29">
      <c r="Z141">
        <f t="shared" ref="Z141:Z204" si="6">AB141-SIN(AB141)</f>
        <v>1.474328773615714</v>
      </c>
      <c r="AA141">
        <v>129</v>
      </c>
      <c r="AB141">
        <f t="shared" ref="AB141:AB204" si="7">AA141*PI()/180</f>
        <v>2.2514747350726849</v>
      </c>
      <c r="AC141">
        <f t="shared" ref="AC141:AC204" si="8">SIN(AB141)</f>
        <v>0.77714596145697101</v>
      </c>
    </row>
    <row r="142" spans="26:29">
      <c r="Z142">
        <f t="shared" si="6"/>
        <v>1.5028835844736506</v>
      </c>
      <c r="AA142">
        <v>130</v>
      </c>
      <c r="AB142">
        <f t="shared" si="7"/>
        <v>2.2689280275926285</v>
      </c>
      <c r="AC142">
        <f t="shared" si="8"/>
        <v>0.76604444311897801</v>
      </c>
    </row>
    <row r="143" spans="26:29">
      <c r="Z143">
        <f t="shared" si="6"/>
        <v>1.5316717398898003</v>
      </c>
      <c r="AA143">
        <v>131</v>
      </c>
      <c r="AB143">
        <f t="shared" si="7"/>
        <v>2.286381320112572</v>
      </c>
      <c r="AC143">
        <f t="shared" si="8"/>
        <v>0.75470958022277179</v>
      </c>
    </row>
    <row r="144" spans="26:29">
      <c r="Z144">
        <f t="shared" si="6"/>
        <v>1.5606897871551209</v>
      </c>
      <c r="AA144">
        <v>132</v>
      </c>
      <c r="AB144">
        <f t="shared" si="7"/>
        <v>2.3038346126325151</v>
      </c>
      <c r="AC144">
        <f t="shared" si="8"/>
        <v>0.74314482547739424</v>
      </c>
    </row>
    <row r="145" spans="26:29">
      <c r="Z145">
        <f t="shared" si="6"/>
        <v>1.5899342035332875</v>
      </c>
      <c r="AA145">
        <v>133</v>
      </c>
      <c r="AB145">
        <f t="shared" si="7"/>
        <v>2.3212879051524582</v>
      </c>
      <c r="AC145">
        <f t="shared" si="8"/>
        <v>0.73135370161917057</v>
      </c>
    </row>
    <row r="146" spans="26:29">
      <c r="Z146">
        <f t="shared" si="6"/>
        <v>1.6194013973337498</v>
      </c>
      <c r="AA146">
        <v>134</v>
      </c>
      <c r="AB146">
        <f t="shared" si="7"/>
        <v>2.3387411976724013</v>
      </c>
      <c r="AC146">
        <f t="shared" si="8"/>
        <v>0.71933980033865141</v>
      </c>
    </row>
    <row r="147" spans="26:29">
      <c r="Z147">
        <f t="shared" si="6"/>
        <v>1.6490877090057974</v>
      </c>
      <c r="AA147">
        <v>135</v>
      </c>
      <c r="AB147">
        <f t="shared" si="7"/>
        <v>2.3561944901923448</v>
      </c>
      <c r="AC147">
        <f t="shared" si="8"/>
        <v>0.70710678118654757</v>
      </c>
    </row>
    <row r="148" spans="26:29">
      <c r="Z148">
        <f t="shared" si="6"/>
        <v>1.6789894122532911</v>
      </c>
      <c r="AA148">
        <v>136</v>
      </c>
      <c r="AB148">
        <f t="shared" si="7"/>
        <v>2.3736477827122884</v>
      </c>
      <c r="AC148">
        <f t="shared" si="8"/>
        <v>0.69465837045899714</v>
      </c>
    </row>
    <row r="149" spans="26:29">
      <c r="Z149">
        <f t="shared" si="6"/>
        <v>1.7091027151697329</v>
      </c>
      <c r="AA149">
        <v>137</v>
      </c>
      <c r="AB149">
        <f t="shared" si="7"/>
        <v>2.3911010752322315</v>
      </c>
      <c r="AC149">
        <f t="shared" si="8"/>
        <v>0.68199836006249859</v>
      </c>
    </row>
    <row r="150" spans="26:29">
      <c r="Z150">
        <f t="shared" si="6"/>
        <v>1.7394237613933163</v>
      </c>
      <c r="AA150">
        <v>138</v>
      </c>
      <c r="AB150">
        <f t="shared" si="7"/>
        <v>2.4085543677521746</v>
      </c>
      <c r="AC150">
        <f t="shared" si="8"/>
        <v>0.66913060635885835</v>
      </c>
    </row>
    <row r="151" spans="26:29">
      <c r="Z151">
        <f t="shared" si="6"/>
        <v>1.7699486312816108</v>
      </c>
      <c r="AA151">
        <v>139</v>
      </c>
      <c r="AB151">
        <f t="shared" si="7"/>
        <v>2.4260076602721181</v>
      </c>
      <c r="AC151">
        <f t="shared" si="8"/>
        <v>0.65605902899050728</v>
      </c>
    </row>
    <row r="152" spans="26:29">
      <c r="Z152">
        <f t="shared" si="6"/>
        <v>1.8006733431055217</v>
      </c>
      <c r="AA152">
        <v>140</v>
      </c>
      <c r="AB152">
        <f t="shared" si="7"/>
        <v>2.4434609527920612</v>
      </c>
      <c r="AC152">
        <f t="shared" si="8"/>
        <v>0.64278760968653947</v>
      </c>
    </row>
    <row r="153" spans="26:29">
      <c r="Z153">
        <f t="shared" si="6"/>
        <v>1.8315938542621666</v>
      </c>
      <c r="AA153">
        <v>141</v>
      </c>
      <c r="AB153">
        <f t="shared" si="7"/>
        <v>2.4609142453120043</v>
      </c>
      <c r="AC153">
        <f t="shared" si="8"/>
        <v>0.62932039104983772</v>
      </c>
    </row>
    <row r="154" spans="26:29">
      <c r="Z154">
        <f t="shared" si="6"/>
        <v>1.8627060625062895</v>
      </c>
      <c r="AA154">
        <v>142</v>
      </c>
      <c r="AB154">
        <f t="shared" si="7"/>
        <v>2.4783675378319479</v>
      </c>
      <c r="AC154">
        <f t="shared" si="8"/>
        <v>0.6156614753256584</v>
      </c>
    </row>
    <row r="155" spans="26:29">
      <c r="Z155">
        <f t="shared" si="6"/>
        <v>1.8940058071998433</v>
      </c>
      <c r="AA155">
        <v>143</v>
      </c>
      <c r="AB155">
        <f t="shared" si="7"/>
        <v>2.4958208303518914</v>
      </c>
      <c r="AC155">
        <f t="shared" si="8"/>
        <v>0.60181502315204816</v>
      </c>
    </row>
    <row r="156" spans="26:29">
      <c r="Z156">
        <f t="shared" si="6"/>
        <v>1.9254888705793611</v>
      </c>
      <c r="AA156">
        <v>144</v>
      </c>
      <c r="AB156">
        <f t="shared" si="7"/>
        <v>2.5132741228718345</v>
      </c>
      <c r="AC156">
        <f t="shared" si="8"/>
        <v>0.58778525229247325</v>
      </c>
    </row>
    <row r="157" spans="26:29">
      <c r="Z157">
        <f t="shared" si="6"/>
        <v>1.9571509790407311</v>
      </c>
      <c r="AA157">
        <v>145</v>
      </c>
      <c r="AB157">
        <f t="shared" si="7"/>
        <v>2.5307274153917776</v>
      </c>
      <c r="AC157">
        <f t="shared" si="8"/>
        <v>0.57357643635104638</v>
      </c>
    </row>
    <row r="158" spans="26:29">
      <c r="Z158">
        <f t="shared" si="6"/>
        <v>1.9889878044409741</v>
      </c>
      <c r="AA158">
        <v>146</v>
      </c>
      <c r="AB158">
        <f t="shared" si="7"/>
        <v>2.5481807079117211</v>
      </c>
      <c r="AC158">
        <f t="shared" si="8"/>
        <v>0.5591929034707469</v>
      </c>
    </row>
    <row r="159" spans="26:29">
      <c r="Z159">
        <f t="shared" si="6"/>
        <v>2.0209949654166377</v>
      </c>
      <c r="AA159">
        <v>147</v>
      </c>
      <c r="AB159">
        <f t="shared" si="7"/>
        <v>2.5656340004316647</v>
      </c>
      <c r="AC159">
        <f t="shared" si="8"/>
        <v>0.54463903501502697</v>
      </c>
    </row>
    <row r="160" spans="26:29">
      <c r="Z160">
        <f t="shared" si="6"/>
        <v>2.0531680287184031</v>
      </c>
      <c r="AA160">
        <v>148</v>
      </c>
      <c r="AB160">
        <f t="shared" si="7"/>
        <v>2.5830872929516078</v>
      </c>
      <c r="AC160">
        <f t="shared" si="8"/>
        <v>0.5299192642332049</v>
      </c>
    </row>
    <row r="161" spans="26:29">
      <c r="Z161">
        <f t="shared" si="6"/>
        <v>2.0855025105614966</v>
      </c>
      <c r="AA161">
        <v>149</v>
      </c>
      <c r="AB161">
        <f t="shared" si="7"/>
        <v>2.6005405854715509</v>
      </c>
      <c r="AC161">
        <f t="shared" si="8"/>
        <v>0.51503807491005438</v>
      </c>
    </row>
    <row r="162" spans="26:29">
      <c r="Z162">
        <f t="shared" si="6"/>
        <v>2.1179938779914944</v>
      </c>
      <c r="AA162">
        <v>150</v>
      </c>
      <c r="AB162">
        <f t="shared" si="7"/>
        <v>2.6179938779914944</v>
      </c>
      <c r="AC162">
        <f t="shared" si="8"/>
        <v>0.49999999999999994</v>
      </c>
    </row>
    <row r="163" spans="26:29">
      <c r="Z163">
        <f t="shared" si="6"/>
        <v>2.1506375502651003</v>
      </c>
      <c r="AA163">
        <v>151</v>
      </c>
      <c r="AB163">
        <f t="shared" si="7"/>
        <v>2.6354471705114375</v>
      </c>
      <c r="AC163">
        <f t="shared" si="8"/>
        <v>0.48480962024633717</v>
      </c>
    </row>
    <row r="164" spans="26:29">
      <c r="Z164">
        <f t="shared" si="6"/>
        <v>2.1834289002454894</v>
      </c>
      <c r="AA164">
        <v>152</v>
      </c>
      <c r="AB164">
        <f t="shared" si="7"/>
        <v>2.6529004630313806</v>
      </c>
      <c r="AC164">
        <f t="shared" si="8"/>
        <v>0.46947156278589108</v>
      </c>
    </row>
    <row r="165" spans="26:29">
      <c r="Z165">
        <f t="shared" si="6"/>
        <v>2.2163632558117774</v>
      </c>
      <c r="AA165">
        <v>153</v>
      </c>
      <c r="AB165">
        <f t="shared" si="7"/>
        <v>2.6703537555513241</v>
      </c>
      <c r="AC165">
        <f t="shared" si="8"/>
        <v>0.45399049973954686</v>
      </c>
    </row>
    <row r="166" spans="26:29">
      <c r="Z166">
        <f t="shared" si="6"/>
        <v>2.2494359012821903</v>
      </c>
      <c r="AA166">
        <v>154</v>
      </c>
      <c r="AB166">
        <f t="shared" si="7"/>
        <v>2.6878070480712677</v>
      </c>
      <c r="AC166">
        <f t="shared" si="8"/>
        <v>0.43837114678907729</v>
      </c>
    </row>
    <row r="167" spans="26:29">
      <c r="Z167">
        <f t="shared" si="6"/>
        <v>2.2826420788505111</v>
      </c>
      <c r="AA167">
        <v>155</v>
      </c>
      <c r="AB167">
        <f t="shared" si="7"/>
        <v>2.7052603405912108</v>
      </c>
      <c r="AC167">
        <f t="shared" si="8"/>
        <v>0.4226182617406995</v>
      </c>
    </row>
    <row r="168" spans="26:29">
      <c r="Z168">
        <f t="shared" si="6"/>
        <v>2.3159769900353533</v>
      </c>
      <c r="AA168">
        <v>156</v>
      </c>
      <c r="AB168">
        <f t="shared" si="7"/>
        <v>2.7227136331111539</v>
      </c>
      <c r="AC168">
        <f t="shared" si="8"/>
        <v>0.40673664307580043</v>
      </c>
    </row>
    <row r="169" spans="26:29">
      <c r="Z169">
        <f t="shared" si="6"/>
        <v>2.3494357971418229</v>
      </c>
      <c r="AA169">
        <v>157</v>
      </c>
      <c r="AB169">
        <f t="shared" si="7"/>
        <v>2.740166925631097</v>
      </c>
      <c r="AC169">
        <f t="shared" si="8"/>
        <v>0.39073112848927416</v>
      </c>
    </row>
    <row r="170" spans="26:29">
      <c r="Z170">
        <f t="shared" si="6"/>
        <v>2.3830136247351281</v>
      </c>
      <c r="AA170">
        <v>158</v>
      </c>
      <c r="AB170">
        <f t="shared" si="7"/>
        <v>2.7576202181510405</v>
      </c>
      <c r="AC170">
        <f t="shared" si="8"/>
        <v>0.37460659341591224</v>
      </c>
    </row>
    <row r="171" spans="26:29">
      <c r="Z171">
        <f t="shared" si="6"/>
        <v>2.416705561125684</v>
      </c>
      <c r="AA171">
        <v>159</v>
      </c>
      <c r="AB171">
        <f t="shared" si="7"/>
        <v>2.7750735106709841</v>
      </c>
      <c r="AC171">
        <f t="shared" si="8"/>
        <v>0.35836794954530021</v>
      </c>
    </row>
    <row r="172" spans="26:29">
      <c r="Z172">
        <f t="shared" si="6"/>
        <v>2.4505066598652583</v>
      </c>
      <c r="AA172">
        <v>160</v>
      </c>
      <c r="AB172">
        <f t="shared" si="7"/>
        <v>2.7925268031909272</v>
      </c>
      <c r="AC172">
        <f t="shared" si="8"/>
        <v>0.34202014332566888</v>
      </c>
    </row>
    <row r="173" spans="26:29">
      <c r="Z173">
        <f t="shared" si="6"/>
        <v>2.4844119412537133</v>
      </c>
      <c r="AA173">
        <v>161</v>
      </c>
      <c r="AB173">
        <f t="shared" si="7"/>
        <v>2.8099800957108703</v>
      </c>
      <c r="AC173">
        <f t="shared" si="8"/>
        <v>0.32556815445715703</v>
      </c>
    </row>
    <row r="174" spans="26:29">
      <c r="Z174">
        <f t="shared" si="6"/>
        <v>2.5184163938558664</v>
      </c>
      <c r="AA174">
        <v>162</v>
      </c>
      <c r="AB174">
        <f t="shared" si="7"/>
        <v>2.8274333882308138</v>
      </c>
      <c r="AC174">
        <f t="shared" si="8"/>
        <v>0.30901699437494751</v>
      </c>
    </row>
    <row r="175" spans="26:29">
      <c r="Z175">
        <f t="shared" si="6"/>
        <v>2.5525149760280197</v>
      </c>
      <c r="AA175">
        <v>163</v>
      </c>
      <c r="AB175">
        <f t="shared" si="7"/>
        <v>2.8448866807507569</v>
      </c>
      <c r="AC175">
        <f t="shared" si="8"/>
        <v>0.29237170472273705</v>
      </c>
    </row>
    <row r="176" spans="26:29">
      <c r="Z176">
        <f t="shared" si="6"/>
        <v>2.5867026174537004</v>
      </c>
      <c r="AA176">
        <v>164</v>
      </c>
      <c r="AB176">
        <f t="shared" si="7"/>
        <v>2.8623399732707</v>
      </c>
      <c r="AC176">
        <f t="shared" si="8"/>
        <v>0.27563735581699966</v>
      </c>
    </row>
    <row r="177" spans="26:29">
      <c r="Z177">
        <f t="shared" si="6"/>
        <v>2.6209742206881224</v>
      </c>
      <c r="AA177">
        <v>165</v>
      </c>
      <c r="AB177">
        <f t="shared" si="7"/>
        <v>2.8797932657906435</v>
      </c>
      <c r="AC177">
        <f t="shared" si="8"/>
        <v>0.25881904510252102</v>
      </c>
    </row>
    <row r="178" spans="26:29">
      <c r="Z178">
        <f t="shared" si="6"/>
        <v>2.6553246627109193</v>
      </c>
      <c r="AA178">
        <v>166</v>
      </c>
      <c r="AB178">
        <f t="shared" si="7"/>
        <v>2.8972465583105871</v>
      </c>
      <c r="AC178">
        <f t="shared" si="8"/>
        <v>0.24192189559966773</v>
      </c>
    </row>
    <row r="179" spans="26:29">
      <c r="Z179">
        <f t="shared" si="6"/>
        <v>2.6897487964866658</v>
      </c>
      <c r="AA179">
        <v>167</v>
      </c>
      <c r="AB179">
        <f t="shared" si="7"/>
        <v>2.9146998508305306</v>
      </c>
      <c r="AC179">
        <f t="shared" si="8"/>
        <v>0.22495105434386478</v>
      </c>
    </row>
    <row r="180" spans="26:29">
      <c r="Z180">
        <f t="shared" si="6"/>
        <v>2.7242414525327145</v>
      </c>
      <c r="AA180">
        <v>168</v>
      </c>
      <c r="AB180">
        <f t="shared" si="7"/>
        <v>2.9321531433504737</v>
      </c>
      <c r="AC180">
        <f t="shared" si="8"/>
        <v>0.20791169081775931</v>
      </c>
    </row>
    <row r="181" spans="26:29">
      <c r="Z181">
        <f t="shared" si="6"/>
        <v>2.758797440493872</v>
      </c>
      <c r="AA181">
        <v>169</v>
      </c>
      <c r="AB181">
        <f t="shared" si="7"/>
        <v>2.9496064358704168</v>
      </c>
      <c r="AC181">
        <f t="shared" si="8"/>
        <v>0.19080899537654497</v>
      </c>
    </row>
    <row r="182" spans="26:29">
      <c r="Z182">
        <f t="shared" si="6"/>
        <v>2.7934115507234303</v>
      </c>
      <c r="AA182">
        <v>170</v>
      </c>
      <c r="AB182">
        <f t="shared" si="7"/>
        <v>2.9670597283903604</v>
      </c>
      <c r="AC182">
        <f t="shared" si="8"/>
        <v>0.17364817766693028</v>
      </c>
    </row>
    <row r="183" spans="26:29">
      <c r="Z183">
        <f t="shared" si="6"/>
        <v>2.8280785558700723</v>
      </c>
      <c r="AA183">
        <v>171</v>
      </c>
      <c r="AB183">
        <f t="shared" si="7"/>
        <v>2.9845130209103035</v>
      </c>
      <c r="AC183">
        <f t="shared" si="8"/>
        <v>0.15643446504023098</v>
      </c>
    </row>
    <row r="184" spans="26:29">
      <c r="Z184">
        <f t="shared" si="6"/>
        <v>2.8627932124701809</v>
      </c>
      <c r="AA184">
        <v>172</v>
      </c>
      <c r="AB184">
        <f t="shared" si="7"/>
        <v>3.0019663134302466</v>
      </c>
      <c r="AC184">
        <f t="shared" si="8"/>
        <v>0.13917310096006574</v>
      </c>
    </row>
    <row r="185" spans="26:29">
      <c r="Z185">
        <f t="shared" si="6"/>
        <v>2.8975502625450424</v>
      </c>
      <c r="AA185">
        <v>173</v>
      </c>
      <c r="AB185">
        <f t="shared" si="7"/>
        <v>3.0194196059501901</v>
      </c>
      <c r="AC185">
        <f t="shared" si="8"/>
        <v>0.12186934340514755</v>
      </c>
    </row>
    <row r="186" spans="26:29">
      <c r="Z186">
        <f t="shared" si="6"/>
        <v>2.9323444352024794</v>
      </c>
      <c r="AA186">
        <v>174</v>
      </c>
      <c r="AB186">
        <f t="shared" si="7"/>
        <v>3.0368728984701332</v>
      </c>
      <c r="AC186">
        <f t="shared" si="8"/>
        <v>0.10452846326765373</v>
      </c>
    </row>
    <row r="187" spans="26:29">
      <c r="Z187">
        <f t="shared" si="6"/>
        <v>2.9671704482424177</v>
      </c>
      <c r="AA187">
        <v>175</v>
      </c>
      <c r="AB187">
        <f t="shared" si="7"/>
        <v>3.0543261909900763</v>
      </c>
      <c r="AC187">
        <f t="shared" si="8"/>
        <v>8.7155742747658638E-2</v>
      </c>
    </row>
    <row r="188" spans="26:29">
      <c r="Z188">
        <f t="shared" si="6"/>
        <v>3.0020230097658942</v>
      </c>
      <c r="AA188">
        <v>176</v>
      </c>
      <c r="AB188">
        <f t="shared" si="7"/>
        <v>3.0717794835100198</v>
      </c>
      <c r="AC188">
        <f t="shared" si="8"/>
        <v>6.9756473744125524E-2</v>
      </c>
    </row>
    <row r="189" spans="26:29">
      <c r="Z189">
        <f t="shared" si="6"/>
        <v>3.0368968197870196</v>
      </c>
      <c r="AA189">
        <v>177</v>
      </c>
      <c r="AB189">
        <f t="shared" si="7"/>
        <v>3.0892327760299634</v>
      </c>
      <c r="AC189">
        <f t="shared" si="8"/>
        <v>5.2335956242943807E-2</v>
      </c>
    </row>
    <row r="190" spans="26:29">
      <c r="Z190">
        <f t="shared" si="6"/>
        <v>3.0717865718474062</v>
      </c>
      <c r="AA190">
        <v>178</v>
      </c>
      <c r="AB190">
        <f t="shared" si="7"/>
        <v>3.1066860685499069</v>
      </c>
      <c r="AC190">
        <f t="shared" si="8"/>
        <v>3.4899496702500699E-2</v>
      </c>
    </row>
    <row r="191" spans="26:29">
      <c r="Z191">
        <f t="shared" si="6"/>
        <v>3.1066869546325666</v>
      </c>
      <c r="AA191">
        <v>179</v>
      </c>
      <c r="AB191">
        <f t="shared" si="7"/>
        <v>3.12413936106985</v>
      </c>
      <c r="AC191">
        <f t="shared" si="8"/>
        <v>1.7452406437283439E-2</v>
      </c>
    </row>
    <row r="192" spans="26:29">
      <c r="Z192">
        <f t="shared" si="6"/>
        <v>3.1415926535897931</v>
      </c>
      <c r="AA192">
        <v>180</v>
      </c>
      <c r="AB192">
        <f t="shared" si="7"/>
        <v>3.1415926535897931</v>
      </c>
      <c r="AC192">
        <f t="shared" si="8"/>
        <v>1.22514845490862E-16</v>
      </c>
    </row>
    <row r="193" spans="26:29">
      <c r="Z193">
        <f t="shared" si="6"/>
        <v>3.1764983525470196</v>
      </c>
      <c r="AA193">
        <v>181</v>
      </c>
      <c r="AB193">
        <f t="shared" si="7"/>
        <v>3.1590459461097362</v>
      </c>
      <c r="AC193">
        <f t="shared" si="8"/>
        <v>-1.7452406437283192E-2</v>
      </c>
    </row>
    <row r="194" spans="26:29">
      <c r="Z194">
        <f t="shared" si="6"/>
        <v>3.2113987353321805</v>
      </c>
      <c r="AA194">
        <v>182</v>
      </c>
      <c r="AB194">
        <f t="shared" si="7"/>
        <v>3.1764992386296798</v>
      </c>
      <c r="AC194">
        <f t="shared" si="8"/>
        <v>-3.48994967025009E-2</v>
      </c>
    </row>
    <row r="195" spans="26:29">
      <c r="Z195">
        <f t="shared" si="6"/>
        <v>3.2462884873925666</v>
      </c>
      <c r="AA195">
        <v>183</v>
      </c>
      <c r="AB195">
        <f t="shared" si="7"/>
        <v>3.1939525311496229</v>
      </c>
      <c r="AC195">
        <f t="shared" si="8"/>
        <v>-5.2335956242943557E-2</v>
      </c>
    </row>
    <row r="196" spans="26:29">
      <c r="Z196">
        <f t="shared" si="6"/>
        <v>3.2811622974136907</v>
      </c>
      <c r="AA196">
        <v>184</v>
      </c>
      <c r="AB196">
        <f t="shared" si="7"/>
        <v>3.211405823669566</v>
      </c>
      <c r="AC196">
        <f t="shared" si="8"/>
        <v>-6.9756473744124831E-2</v>
      </c>
    </row>
    <row r="197" spans="26:29">
      <c r="Z197">
        <f t="shared" si="6"/>
        <v>3.3160148589371676</v>
      </c>
      <c r="AA197">
        <v>185</v>
      </c>
      <c r="AB197">
        <f t="shared" si="7"/>
        <v>3.2288591161895095</v>
      </c>
      <c r="AC197">
        <f t="shared" si="8"/>
        <v>-8.7155742747657944E-2</v>
      </c>
    </row>
    <row r="198" spans="26:29">
      <c r="Z198">
        <f t="shared" si="6"/>
        <v>3.3508408719771055</v>
      </c>
      <c r="AA198">
        <v>186</v>
      </c>
      <c r="AB198">
        <f t="shared" si="7"/>
        <v>3.2463124087094526</v>
      </c>
      <c r="AC198">
        <f t="shared" si="8"/>
        <v>-0.10452846326765305</v>
      </c>
    </row>
    <row r="199" spans="26:29">
      <c r="Z199">
        <f t="shared" si="6"/>
        <v>3.3856350446345442</v>
      </c>
      <c r="AA199">
        <v>187</v>
      </c>
      <c r="AB199">
        <f t="shared" si="7"/>
        <v>3.2637657012293966</v>
      </c>
      <c r="AC199">
        <f t="shared" si="8"/>
        <v>-0.12186934340514774</v>
      </c>
    </row>
    <row r="200" spans="26:29">
      <c r="Z200">
        <f t="shared" si="6"/>
        <v>3.4203920947094053</v>
      </c>
      <c r="AA200">
        <v>188</v>
      </c>
      <c r="AB200">
        <f t="shared" si="7"/>
        <v>3.2812189937493397</v>
      </c>
      <c r="AC200">
        <f t="shared" si="8"/>
        <v>-0.13917310096006552</v>
      </c>
    </row>
    <row r="201" spans="26:29">
      <c r="Z201">
        <f t="shared" si="6"/>
        <v>3.4551067513095135</v>
      </c>
      <c r="AA201">
        <v>189</v>
      </c>
      <c r="AB201">
        <f t="shared" si="7"/>
        <v>3.2986722862692828</v>
      </c>
      <c r="AC201">
        <f t="shared" si="8"/>
        <v>-0.15643446504023073</v>
      </c>
    </row>
    <row r="202" spans="26:29">
      <c r="Z202">
        <f t="shared" si="6"/>
        <v>3.4897737564561568</v>
      </c>
      <c r="AA202">
        <v>190</v>
      </c>
      <c r="AB202">
        <f t="shared" si="7"/>
        <v>3.3161255787892263</v>
      </c>
      <c r="AC202">
        <f t="shared" si="8"/>
        <v>-0.17364817766693047</v>
      </c>
    </row>
    <row r="203" spans="26:29">
      <c r="Z203">
        <f t="shared" si="6"/>
        <v>3.5243878666857142</v>
      </c>
      <c r="AA203">
        <v>191</v>
      </c>
      <c r="AB203">
        <f t="shared" si="7"/>
        <v>3.3335788713091694</v>
      </c>
      <c r="AC203">
        <f t="shared" si="8"/>
        <v>-0.19080899537654472</v>
      </c>
    </row>
    <row r="204" spans="26:29">
      <c r="Z204">
        <f t="shared" si="6"/>
        <v>3.5589438546468717</v>
      </c>
      <c r="AA204">
        <v>192</v>
      </c>
      <c r="AB204">
        <f t="shared" si="7"/>
        <v>3.3510321638291125</v>
      </c>
      <c r="AC204">
        <f t="shared" si="8"/>
        <v>-0.20791169081775907</v>
      </c>
    </row>
    <row r="205" spans="26:29">
      <c r="Z205">
        <f t="shared" ref="Z205:Z268" si="9">AB205-SIN(AB205)</f>
        <v>3.5934365106929209</v>
      </c>
      <c r="AA205">
        <v>193</v>
      </c>
      <c r="AB205">
        <f t="shared" ref="AB205:AB268" si="10">AA205*PI()/180</f>
        <v>3.3684854563490561</v>
      </c>
      <c r="AC205">
        <f t="shared" ref="AC205:AC268" si="11">SIN(AB205)</f>
        <v>-0.22495105434386498</v>
      </c>
    </row>
    <row r="206" spans="26:29">
      <c r="Z206">
        <f t="shared" si="9"/>
        <v>3.6278606444686665</v>
      </c>
      <c r="AA206">
        <v>194</v>
      </c>
      <c r="AB206">
        <f t="shared" si="10"/>
        <v>3.3859387488689991</v>
      </c>
      <c r="AC206">
        <f t="shared" si="11"/>
        <v>-0.24192189559966751</v>
      </c>
    </row>
    <row r="207" spans="26:29">
      <c r="Z207">
        <f t="shared" si="9"/>
        <v>3.6622110864914625</v>
      </c>
      <c r="AA207">
        <v>195</v>
      </c>
      <c r="AB207">
        <f t="shared" si="10"/>
        <v>3.4033920413889422</v>
      </c>
      <c r="AC207">
        <f t="shared" si="11"/>
        <v>-0.25881904510252035</v>
      </c>
    </row>
    <row r="208" spans="26:29">
      <c r="Z208">
        <f t="shared" si="9"/>
        <v>3.6964826897258849</v>
      </c>
      <c r="AA208">
        <v>196</v>
      </c>
      <c r="AB208">
        <f t="shared" si="10"/>
        <v>3.4208453339088858</v>
      </c>
      <c r="AC208">
        <f t="shared" si="11"/>
        <v>-0.275637355816999</v>
      </c>
    </row>
    <row r="209" spans="26:29">
      <c r="Z209">
        <f t="shared" si="9"/>
        <v>3.7306703311515652</v>
      </c>
      <c r="AA209">
        <v>197</v>
      </c>
      <c r="AB209">
        <f t="shared" si="10"/>
        <v>3.4382986264288289</v>
      </c>
      <c r="AC209">
        <f t="shared" si="11"/>
        <v>-0.29237170472273638</v>
      </c>
    </row>
    <row r="210" spans="26:29">
      <c r="Z210">
        <f t="shared" si="9"/>
        <v>3.7647689133237208</v>
      </c>
      <c r="AA210">
        <v>198</v>
      </c>
      <c r="AB210">
        <f t="shared" si="10"/>
        <v>3.4557519189487729</v>
      </c>
      <c r="AC210">
        <f t="shared" si="11"/>
        <v>-0.30901699437494773</v>
      </c>
    </row>
    <row r="211" spans="26:29">
      <c r="Z211">
        <f t="shared" si="9"/>
        <v>3.7987733659258729</v>
      </c>
      <c r="AA211">
        <v>199</v>
      </c>
      <c r="AB211">
        <f t="shared" si="10"/>
        <v>3.473205211468716</v>
      </c>
      <c r="AC211">
        <f t="shared" si="11"/>
        <v>-0.32556815445715676</v>
      </c>
    </row>
    <row r="212" spans="26:29">
      <c r="Z212">
        <f t="shared" si="9"/>
        <v>3.8326786473143279</v>
      </c>
      <c r="AA212">
        <v>200</v>
      </c>
      <c r="AB212">
        <f t="shared" si="10"/>
        <v>3.4906585039886591</v>
      </c>
      <c r="AC212">
        <f t="shared" si="11"/>
        <v>-0.34202014332566866</v>
      </c>
    </row>
    <row r="213" spans="26:29">
      <c r="Z213">
        <f t="shared" si="9"/>
        <v>3.8664797460539031</v>
      </c>
      <c r="AA213">
        <v>201</v>
      </c>
      <c r="AB213">
        <f t="shared" si="10"/>
        <v>3.5081117965086026</v>
      </c>
      <c r="AC213">
        <f t="shared" si="11"/>
        <v>-0.35836794954530043</v>
      </c>
    </row>
    <row r="214" spans="26:29">
      <c r="Z214">
        <f t="shared" si="9"/>
        <v>3.9001716824444577</v>
      </c>
      <c r="AA214">
        <v>202</v>
      </c>
      <c r="AB214">
        <f t="shared" si="10"/>
        <v>3.5255650890285457</v>
      </c>
      <c r="AC214">
        <f t="shared" si="11"/>
        <v>-0.37460659341591201</v>
      </c>
    </row>
    <row r="215" spans="26:29">
      <c r="Z215">
        <f t="shared" si="9"/>
        <v>3.9337495100377624</v>
      </c>
      <c r="AA215">
        <v>203</v>
      </c>
      <c r="AB215">
        <f t="shared" si="10"/>
        <v>3.5430183815484888</v>
      </c>
      <c r="AC215">
        <f t="shared" si="11"/>
        <v>-0.39073112848927355</v>
      </c>
    </row>
    <row r="216" spans="26:29">
      <c r="Z216">
        <f t="shared" si="9"/>
        <v>3.9672083171442316</v>
      </c>
      <c r="AA216">
        <v>204</v>
      </c>
      <c r="AB216">
        <f t="shared" si="10"/>
        <v>3.5604716740684319</v>
      </c>
      <c r="AC216">
        <f t="shared" si="11"/>
        <v>-0.40673664307579982</v>
      </c>
    </row>
    <row r="217" spans="26:29">
      <c r="Z217">
        <f t="shared" si="9"/>
        <v>4.0005432283290752</v>
      </c>
      <c r="AA217">
        <v>205</v>
      </c>
      <c r="AB217">
        <f t="shared" si="10"/>
        <v>3.5779249665883754</v>
      </c>
      <c r="AC217">
        <f t="shared" si="11"/>
        <v>-0.42261826174069927</v>
      </c>
    </row>
    <row r="218" spans="26:29">
      <c r="Z218">
        <f t="shared" si="9"/>
        <v>4.0337494058973959</v>
      </c>
      <c r="AA218">
        <v>206</v>
      </c>
      <c r="AB218">
        <f t="shared" si="10"/>
        <v>3.5953782591083185</v>
      </c>
      <c r="AC218">
        <f t="shared" si="11"/>
        <v>-0.43837114678907707</v>
      </c>
    </row>
    <row r="219" spans="26:29">
      <c r="Z219">
        <f t="shared" si="9"/>
        <v>4.0668220513678079</v>
      </c>
      <c r="AA219">
        <v>207</v>
      </c>
      <c r="AB219">
        <f t="shared" si="10"/>
        <v>3.6128315516282616</v>
      </c>
      <c r="AC219">
        <f t="shared" si="11"/>
        <v>-0.45399049973954625</v>
      </c>
    </row>
    <row r="220" spans="26:29">
      <c r="Z220">
        <f t="shared" si="9"/>
        <v>4.0997564069340964</v>
      </c>
      <c r="AA220">
        <v>208</v>
      </c>
      <c r="AB220">
        <f t="shared" si="10"/>
        <v>3.6302848441482056</v>
      </c>
      <c r="AC220">
        <f t="shared" si="11"/>
        <v>-0.46947156278589086</v>
      </c>
    </row>
    <row r="221" spans="26:29">
      <c r="Z221">
        <f t="shared" si="9"/>
        <v>4.1325477569144855</v>
      </c>
      <c r="AA221">
        <v>209</v>
      </c>
      <c r="AB221">
        <f t="shared" si="10"/>
        <v>3.6477381366681487</v>
      </c>
      <c r="AC221">
        <f t="shared" si="11"/>
        <v>-0.48480962024633695</v>
      </c>
    </row>
    <row r="222" spans="26:29">
      <c r="Z222">
        <f t="shared" si="9"/>
        <v>4.1651914291880923</v>
      </c>
      <c r="AA222">
        <v>210</v>
      </c>
      <c r="AB222">
        <f t="shared" si="10"/>
        <v>3.6651914291880923</v>
      </c>
      <c r="AC222">
        <f t="shared" si="11"/>
        <v>-0.50000000000000011</v>
      </c>
    </row>
    <row r="223" spans="26:29">
      <c r="Z223">
        <f t="shared" si="9"/>
        <v>4.1976827966180892</v>
      </c>
      <c r="AA223">
        <v>211</v>
      </c>
      <c r="AB223">
        <f t="shared" si="10"/>
        <v>3.6826447217080354</v>
      </c>
      <c r="AC223">
        <f t="shared" si="11"/>
        <v>-0.51503807491005416</v>
      </c>
    </row>
    <row r="224" spans="26:29">
      <c r="Z224">
        <f t="shared" si="9"/>
        <v>4.2300172784611831</v>
      </c>
      <c r="AA224">
        <v>212</v>
      </c>
      <c r="AB224">
        <f t="shared" si="10"/>
        <v>3.7000980142279785</v>
      </c>
      <c r="AC224">
        <f t="shared" si="11"/>
        <v>-0.52991926423320479</v>
      </c>
    </row>
    <row r="225" spans="26:29">
      <c r="Z225">
        <f t="shared" si="9"/>
        <v>4.262190341762949</v>
      </c>
      <c r="AA225">
        <v>213</v>
      </c>
      <c r="AB225">
        <f t="shared" si="10"/>
        <v>3.717551306747922</v>
      </c>
      <c r="AC225">
        <f t="shared" si="11"/>
        <v>-0.54463903501502708</v>
      </c>
    </row>
    <row r="226" spans="26:29">
      <c r="Z226">
        <f t="shared" si="9"/>
        <v>4.2941975027386121</v>
      </c>
      <c r="AA226">
        <v>214</v>
      </c>
      <c r="AB226">
        <f t="shared" si="10"/>
        <v>3.7350045992678651</v>
      </c>
      <c r="AC226">
        <f t="shared" si="11"/>
        <v>-0.55919290347074668</v>
      </c>
    </row>
    <row r="227" spans="26:29">
      <c r="Z227">
        <f t="shared" si="9"/>
        <v>4.3260343281388538</v>
      </c>
      <c r="AA227">
        <v>215</v>
      </c>
      <c r="AB227">
        <f t="shared" si="10"/>
        <v>3.7524578917878082</v>
      </c>
      <c r="AC227">
        <f t="shared" si="11"/>
        <v>-0.57357643635104583</v>
      </c>
    </row>
    <row r="228" spans="26:29">
      <c r="Z228">
        <f t="shared" si="9"/>
        <v>4.3576964366002251</v>
      </c>
      <c r="AA228">
        <v>216</v>
      </c>
      <c r="AB228">
        <f t="shared" si="10"/>
        <v>3.7699111843077517</v>
      </c>
      <c r="AC228">
        <f t="shared" si="11"/>
        <v>-0.58778525229247303</v>
      </c>
    </row>
    <row r="229" spans="26:29">
      <c r="Z229">
        <f t="shared" si="9"/>
        <v>4.3891794999797433</v>
      </c>
      <c r="AA229">
        <v>217</v>
      </c>
      <c r="AB229">
        <f t="shared" si="10"/>
        <v>3.7873644768276948</v>
      </c>
      <c r="AC229">
        <f t="shared" si="11"/>
        <v>-0.60181502315204805</v>
      </c>
    </row>
    <row r="230" spans="26:29">
      <c r="Z230">
        <f t="shared" si="9"/>
        <v>4.4204792446732961</v>
      </c>
      <c r="AA230">
        <v>218</v>
      </c>
      <c r="AB230">
        <f t="shared" si="10"/>
        <v>3.8048177693476379</v>
      </c>
      <c r="AC230">
        <f t="shared" si="11"/>
        <v>-0.61566147532565785</v>
      </c>
    </row>
    <row r="231" spans="26:29">
      <c r="Z231">
        <f t="shared" si="9"/>
        <v>4.4515914529174196</v>
      </c>
      <c r="AA231">
        <v>219</v>
      </c>
      <c r="AB231">
        <f t="shared" si="10"/>
        <v>3.8222710618675819</v>
      </c>
      <c r="AC231">
        <f t="shared" si="11"/>
        <v>-0.62932039104983761</v>
      </c>
    </row>
    <row r="232" spans="26:29">
      <c r="Z232">
        <f t="shared" si="9"/>
        <v>4.4825119640740638</v>
      </c>
      <c r="AA232">
        <v>220</v>
      </c>
      <c r="AB232">
        <f t="shared" si="10"/>
        <v>3.839724354387525</v>
      </c>
      <c r="AC232">
        <f t="shared" si="11"/>
        <v>-0.64278760968653925</v>
      </c>
    </row>
    <row r="233" spans="26:29">
      <c r="Z233">
        <f t="shared" si="9"/>
        <v>4.5132366758979758</v>
      </c>
      <c r="AA233">
        <v>221</v>
      </c>
      <c r="AB233">
        <f t="shared" si="10"/>
        <v>3.8571776469074686</v>
      </c>
      <c r="AC233">
        <f t="shared" si="11"/>
        <v>-0.65605902899050739</v>
      </c>
    </row>
    <row r="234" spans="26:29">
      <c r="Z234">
        <f t="shared" si="9"/>
        <v>4.5437615457862695</v>
      </c>
      <c r="AA234">
        <v>222</v>
      </c>
      <c r="AB234">
        <f t="shared" si="10"/>
        <v>3.8746309394274117</v>
      </c>
      <c r="AC234">
        <f t="shared" si="11"/>
        <v>-0.66913060635885824</v>
      </c>
    </row>
    <row r="235" spans="26:29">
      <c r="Z235">
        <f t="shared" si="9"/>
        <v>4.5740825920098533</v>
      </c>
      <c r="AA235">
        <v>223</v>
      </c>
      <c r="AB235">
        <f t="shared" si="10"/>
        <v>3.8920842319473548</v>
      </c>
      <c r="AC235">
        <f t="shared" si="11"/>
        <v>-0.68199836006249837</v>
      </c>
    </row>
    <row r="236" spans="26:29">
      <c r="Z236">
        <f t="shared" si="9"/>
        <v>4.6041958949262956</v>
      </c>
      <c r="AA236">
        <v>224</v>
      </c>
      <c r="AB236">
        <f t="shared" si="10"/>
        <v>3.9095375244672983</v>
      </c>
      <c r="AC236">
        <f t="shared" si="11"/>
        <v>-0.69465837045899737</v>
      </c>
    </row>
    <row r="237" spans="26:29">
      <c r="Z237">
        <f t="shared" si="9"/>
        <v>4.6340975981737884</v>
      </c>
      <c r="AA237">
        <v>225</v>
      </c>
      <c r="AB237">
        <f t="shared" si="10"/>
        <v>3.9269908169872414</v>
      </c>
      <c r="AC237">
        <f t="shared" si="11"/>
        <v>-0.70710678118654746</v>
      </c>
    </row>
    <row r="238" spans="26:29">
      <c r="Z238">
        <f t="shared" si="9"/>
        <v>4.6637839098458356</v>
      </c>
      <c r="AA238">
        <v>226</v>
      </c>
      <c r="AB238">
        <f t="shared" si="10"/>
        <v>3.9444441095071845</v>
      </c>
      <c r="AC238">
        <f t="shared" si="11"/>
        <v>-0.71933980033865086</v>
      </c>
    </row>
    <row r="239" spans="26:29">
      <c r="Z239">
        <f t="shared" si="9"/>
        <v>4.6932511036462978</v>
      </c>
      <c r="AA239">
        <v>227</v>
      </c>
      <c r="AB239">
        <f t="shared" si="10"/>
        <v>3.9618974020271276</v>
      </c>
      <c r="AC239">
        <f t="shared" si="11"/>
        <v>-0.73135370161917013</v>
      </c>
    </row>
    <row r="240" spans="26:29">
      <c r="Z240">
        <f t="shared" si="9"/>
        <v>4.7224955200244647</v>
      </c>
      <c r="AA240">
        <v>228</v>
      </c>
      <c r="AB240">
        <f t="shared" si="10"/>
        <v>3.9793506945470711</v>
      </c>
      <c r="AC240">
        <f t="shared" si="11"/>
        <v>-0.74314482547739402</v>
      </c>
    </row>
    <row r="241" spans="26:29">
      <c r="Z241">
        <f t="shared" si="9"/>
        <v>4.7515135672897859</v>
      </c>
      <c r="AA241">
        <v>229</v>
      </c>
      <c r="AB241">
        <f t="shared" si="10"/>
        <v>3.9968039870670142</v>
      </c>
      <c r="AC241">
        <f t="shared" si="11"/>
        <v>-0.75470958022277168</v>
      </c>
    </row>
    <row r="242" spans="26:29">
      <c r="Z242">
        <f t="shared" si="9"/>
        <v>4.7803017227059357</v>
      </c>
      <c r="AA242">
        <v>230</v>
      </c>
      <c r="AB242">
        <f t="shared" si="10"/>
        <v>4.0142572795869578</v>
      </c>
      <c r="AC242">
        <f t="shared" si="11"/>
        <v>-0.7660444431189779</v>
      </c>
    </row>
    <row r="243" spans="26:29">
      <c r="Z243">
        <f t="shared" si="9"/>
        <v>4.8088565335638727</v>
      </c>
      <c r="AA243">
        <v>231</v>
      </c>
      <c r="AB243">
        <f t="shared" si="10"/>
        <v>4.0317105721069018</v>
      </c>
      <c r="AC243">
        <f t="shared" si="11"/>
        <v>-0.77714596145697112</v>
      </c>
    </row>
    <row r="244" spans="26:29">
      <c r="Z244">
        <f t="shared" si="9"/>
        <v>4.8371746182335666</v>
      </c>
      <c r="AA244">
        <v>232</v>
      </c>
      <c r="AB244">
        <f t="shared" si="10"/>
        <v>4.0491638646268449</v>
      </c>
      <c r="AC244">
        <f t="shared" si="11"/>
        <v>-0.78801075360672213</v>
      </c>
    </row>
    <row r="245" spans="26:29">
      <c r="Z245">
        <f t="shared" si="9"/>
        <v>4.8652526671940812</v>
      </c>
      <c r="AA245">
        <v>233</v>
      </c>
      <c r="AB245">
        <f t="shared" si="10"/>
        <v>4.066617157146788</v>
      </c>
      <c r="AC245">
        <f t="shared" si="11"/>
        <v>-0.79863551004729283</v>
      </c>
    </row>
    <row r="246" spans="26:29">
      <c r="Z246">
        <f t="shared" si="9"/>
        <v>4.8930874440416785</v>
      </c>
      <c r="AA246">
        <v>234</v>
      </c>
      <c r="AB246">
        <f t="shared" si="10"/>
        <v>4.0840704496667311</v>
      </c>
      <c r="AC246">
        <f t="shared" si="11"/>
        <v>-0.80901699437494734</v>
      </c>
    </row>
    <row r="247" spans="26:29">
      <c r="Z247">
        <f t="shared" si="9"/>
        <v>4.9206757864756661</v>
      </c>
      <c r="AA247">
        <v>235</v>
      </c>
      <c r="AB247">
        <f t="shared" si="10"/>
        <v>4.1015237421866741</v>
      </c>
      <c r="AC247">
        <f t="shared" si="11"/>
        <v>-0.81915204428899158</v>
      </c>
    </row>
    <row r="248" spans="26:29">
      <c r="Z248">
        <f t="shared" si="9"/>
        <v>4.9480146072616584</v>
      </c>
      <c r="AA248">
        <v>236</v>
      </c>
      <c r="AB248">
        <f t="shared" si="10"/>
        <v>4.1189770347066172</v>
      </c>
      <c r="AC248">
        <f t="shared" si="11"/>
        <v>-0.8290375725550414</v>
      </c>
    </row>
    <row r="249" spans="26:29">
      <c r="Z249">
        <f t="shared" si="9"/>
        <v>4.9751008951719857</v>
      </c>
      <c r="AA249">
        <v>237</v>
      </c>
      <c r="AB249">
        <f t="shared" si="10"/>
        <v>4.1364303272265612</v>
      </c>
      <c r="AC249">
        <f t="shared" si="11"/>
        <v>-0.83867056794542405</v>
      </c>
    </row>
    <row r="250" spans="26:29">
      <c r="Z250">
        <f t="shared" si="9"/>
        <v>5.0019317159029306</v>
      </c>
      <c r="AA250">
        <v>238</v>
      </c>
      <c r="AB250">
        <f t="shared" si="10"/>
        <v>4.1538836197465043</v>
      </c>
      <c r="AC250">
        <f t="shared" si="11"/>
        <v>-0.84804809615642596</v>
      </c>
    </row>
    <row r="251" spans="26:29">
      <c r="Z251">
        <f t="shared" si="9"/>
        <v>5.02850421296856</v>
      </c>
      <c r="AA251">
        <v>239</v>
      </c>
      <c r="AB251">
        <f t="shared" si="10"/>
        <v>4.1713369122664474</v>
      </c>
      <c r="AC251">
        <f t="shared" si="11"/>
        <v>-0.85716730070211211</v>
      </c>
    </row>
    <row r="252" spans="26:29">
      <c r="Z252">
        <f t="shared" si="9"/>
        <v>5.0548156085708289</v>
      </c>
      <c r="AA252">
        <v>240</v>
      </c>
      <c r="AB252">
        <f t="shared" si="10"/>
        <v>4.1887902047863905</v>
      </c>
      <c r="AC252">
        <f t="shared" si="11"/>
        <v>-0.86602540378443837</v>
      </c>
    </row>
    <row r="253" spans="26:29">
      <c r="Z253">
        <f t="shared" si="9"/>
        <v>5.0808632044457305</v>
      </c>
      <c r="AA253">
        <v>241</v>
      </c>
      <c r="AB253">
        <f t="shared" si="10"/>
        <v>4.2062434973063345</v>
      </c>
      <c r="AC253">
        <f t="shared" si="11"/>
        <v>-0.87461970713939596</v>
      </c>
    </row>
    <row r="254" spans="26:29">
      <c r="Z254">
        <f t="shared" si="9"/>
        <v>5.1066443826852046</v>
      </c>
      <c r="AA254">
        <v>242</v>
      </c>
      <c r="AB254">
        <f t="shared" si="10"/>
        <v>4.2236967898262776</v>
      </c>
      <c r="AC254">
        <f t="shared" si="11"/>
        <v>-0.88294759285892699</v>
      </c>
    </row>
    <row r="255" spans="26:29">
      <c r="Z255">
        <f t="shared" si="9"/>
        <v>5.1321566065345881</v>
      </c>
      <c r="AA255">
        <v>243</v>
      </c>
      <c r="AB255">
        <f t="shared" si="10"/>
        <v>4.2411500823462207</v>
      </c>
      <c r="AC255">
        <f t="shared" si="11"/>
        <v>-0.89100652418836779</v>
      </c>
    </row>
    <row r="256" spans="26:29">
      <c r="Z256">
        <f t="shared" si="9"/>
        <v>5.1573974211653306</v>
      </c>
      <c r="AA256">
        <v>244</v>
      </c>
      <c r="AB256">
        <f t="shared" si="10"/>
        <v>4.2586033748661638</v>
      </c>
      <c r="AC256">
        <f t="shared" si="11"/>
        <v>-0.89879404629916682</v>
      </c>
    </row>
    <row r="257" spans="26:29">
      <c r="Z257">
        <f t="shared" si="9"/>
        <v>5.1823644544227569</v>
      </c>
      <c r="AA257">
        <v>245</v>
      </c>
      <c r="AB257">
        <f t="shared" si="10"/>
        <v>4.2760566673861069</v>
      </c>
      <c r="AC257">
        <f t="shared" si="11"/>
        <v>-0.90630778703664971</v>
      </c>
    </row>
    <row r="258" spans="26:29">
      <c r="Z258">
        <f t="shared" si="9"/>
        <v>5.2070554175486521</v>
      </c>
      <c r="AA258">
        <v>246</v>
      </c>
      <c r="AB258">
        <f t="shared" si="10"/>
        <v>4.2935099599060509</v>
      </c>
      <c r="AC258">
        <f t="shared" si="11"/>
        <v>-0.91354545764260098</v>
      </c>
    </row>
    <row r="259" spans="26:29">
      <c r="Z259">
        <f t="shared" si="9"/>
        <v>5.2314681058784345</v>
      </c>
      <c r="AA259">
        <v>247</v>
      </c>
      <c r="AB259">
        <f t="shared" si="10"/>
        <v>4.310963252425994</v>
      </c>
      <c r="AC259">
        <f t="shared" si="11"/>
        <v>-0.92050485345244026</v>
      </c>
    </row>
    <row r="260" spans="26:29">
      <c r="Z260">
        <f t="shared" si="9"/>
        <v>5.2556003995127245</v>
      </c>
      <c r="AA260">
        <v>248</v>
      </c>
      <c r="AB260">
        <f t="shared" si="10"/>
        <v>4.3284165449459371</v>
      </c>
      <c r="AC260">
        <f t="shared" si="11"/>
        <v>-0.92718385456678731</v>
      </c>
    </row>
    <row r="261" spans="26:29">
      <c r="Z261">
        <f t="shared" si="9"/>
        <v>5.2794502639630814</v>
      </c>
      <c r="AA261">
        <v>249</v>
      </c>
      <c r="AB261">
        <f t="shared" si="10"/>
        <v>4.3458698374658802</v>
      </c>
      <c r="AC261">
        <f t="shared" si="11"/>
        <v>-0.93358042649720163</v>
      </c>
    </row>
    <row r="262" spans="26:29">
      <c r="Z262">
        <f t="shared" si="9"/>
        <v>5.3030157507717313</v>
      </c>
      <c r="AA262">
        <v>250</v>
      </c>
      <c r="AB262">
        <f t="shared" si="10"/>
        <v>4.3633231299858233</v>
      </c>
      <c r="AC262">
        <f t="shared" si="11"/>
        <v>-0.93969262078590821</v>
      </c>
    </row>
    <row r="263" spans="26:29">
      <c r="Z263">
        <f t="shared" si="9"/>
        <v>5.3262949981050838</v>
      </c>
      <c r="AA263">
        <v>251</v>
      </c>
      <c r="AB263">
        <f t="shared" si="10"/>
        <v>4.3807764225057673</v>
      </c>
      <c r="AC263">
        <f t="shared" si="11"/>
        <v>-0.94551857559931685</v>
      </c>
    </row>
    <row r="264" spans="26:29">
      <c r="Z264">
        <f t="shared" si="9"/>
        <v>5.349286231320864</v>
      </c>
      <c r="AA264">
        <v>252</v>
      </c>
      <c r="AB264">
        <f t="shared" si="10"/>
        <v>4.3982297150257104</v>
      </c>
      <c r="AC264">
        <f t="shared" si="11"/>
        <v>-0.95105651629515353</v>
      </c>
    </row>
    <row r="265" spans="26:29">
      <c r="Z265">
        <f t="shared" si="9"/>
        <v>5.371987763508689</v>
      </c>
      <c r="AA265">
        <v>253</v>
      </c>
      <c r="AB265">
        <f t="shared" si="10"/>
        <v>4.4156830075456535</v>
      </c>
      <c r="AC265">
        <f t="shared" si="11"/>
        <v>-0.95630475596303532</v>
      </c>
    </row>
    <row r="266" spans="26:29">
      <c r="Z266">
        <f t="shared" si="9"/>
        <v>5.3943979960039163</v>
      </c>
      <c r="AA266">
        <v>254</v>
      </c>
      <c r="AB266">
        <f t="shared" si="10"/>
        <v>4.4331363000655974</v>
      </c>
      <c r="AC266">
        <f t="shared" si="11"/>
        <v>-0.96126169593831901</v>
      </c>
    </row>
    <row r="267" spans="26:29">
      <c r="Z267">
        <f t="shared" si="9"/>
        <v>5.4165154188746092</v>
      </c>
      <c r="AA267">
        <v>255</v>
      </c>
      <c r="AB267">
        <f t="shared" si="10"/>
        <v>4.4505895925855405</v>
      </c>
      <c r="AC267">
        <f t="shared" si="11"/>
        <v>-0.96592582628906831</v>
      </c>
    </row>
    <row r="268" spans="26:29">
      <c r="Z268">
        <f t="shared" si="9"/>
        <v>5.4383386113814804</v>
      </c>
      <c r="AA268">
        <v>256</v>
      </c>
      <c r="AB268">
        <f t="shared" si="10"/>
        <v>4.4680428851054836</v>
      </c>
      <c r="AC268">
        <f t="shared" si="11"/>
        <v>-0.97029572627599647</v>
      </c>
    </row>
    <row r="269" spans="26:29">
      <c r="Z269">
        <f t="shared" ref="Z269:Z332" si="12">AB269-SIN(AB269)</f>
        <v>5.4598662424106621</v>
      </c>
      <c r="AA269">
        <v>257</v>
      </c>
      <c r="AB269">
        <f t="shared" ref="AB269:AB332" si="13">AA269*PI()/180</f>
        <v>4.4854961776254267</v>
      </c>
      <c r="AC269">
        <f t="shared" ref="AC269:AC332" si="14">SIN(AB269)</f>
        <v>-0.97437006478523513</v>
      </c>
    </row>
    <row r="270" spans="26:29">
      <c r="Z270">
        <f t="shared" si="12"/>
        <v>5.4810970708791755</v>
      </c>
      <c r="AA270">
        <v>258</v>
      </c>
      <c r="AB270">
        <f t="shared" si="13"/>
        <v>4.5029494701453698</v>
      </c>
      <c r="AC270">
        <f t="shared" si="14"/>
        <v>-0.97814760073380558</v>
      </c>
    </row>
    <row r="271" spans="26:29">
      <c r="Z271">
        <f t="shared" si="12"/>
        <v>5.5020299461129767</v>
      </c>
      <c r="AA271">
        <v>259</v>
      </c>
      <c r="AB271">
        <f t="shared" si="13"/>
        <v>4.5204027626653129</v>
      </c>
      <c r="AC271">
        <f t="shared" si="14"/>
        <v>-0.98162718344766386</v>
      </c>
    </row>
    <row r="272" spans="26:29">
      <c r="Z272">
        <f t="shared" si="12"/>
        <v>5.5226638081974651</v>
      </c>
      <c r="AA272">
        <v>260</v>
      </c>
      <c r="AB272">
        <f t="shared" si="13"/>
        <v>4.5378560551852569</v>
      </c>
      <c r="AC272">
        <f t="shared" si="14"/>
        <v>-0.98480775301220802</v>
      </c>
    </row>
    <row r="273" spans="26:29">
      <c r="Z273">
        <f t="shared" si="12"/>
        <v>5.5429976883003373</v>
      </c>
      <c r="AA273">
        <v>261</v>
      </c>
      <c r="AB273">
        <f t="shared" si="13"/>
        <v>4.5553093477052</v>
      </c>
      <c r="AC273">
        <f t="shared" si="14"/>
        <v>-0.98768834059513766</v>
      </c>
    </row>
    <row r="274" spans="26:29">
      <c r="Z274">
        <f t="shared" si="12"/>
        <v>5.5630307089667141</v>
      </c>
      <c r="AA274">
        <v>262</v>
      </c>
      <c r="AB274">
        <f t="shared" si="13"/>
        <v>4.572762640225144</v>
      </c>
      <c r="AC274">
        <f t="shared" si="14"/>
        <v>-0.99026806874157036</v>
      </c>
    </row>
    <row r="275" spans="26:29">
      <c r="Z275">
        <f t="shared" si="12"/>
        <v>5.5827620843864096</v>
      </c>
      <c r="AA275">
        <v>263</v>
      </c>
      <c r="AB275">
        <f t="shared" si="13"/>
        <v>4.5902159327450871</v>
      </c>
      <c r="AC275">
        <f t="shared" si="14"/>
        <v>-0.99254615164132209</v>
      </c>
    </row>
    <row r="276" spans="26:29">
      <c r="Z276">
        <f t="shared" si="12"/>
        <v>5.6021911206333037</v>
      </c>
      <c r="AA276">
        <v>264</v>
      </c>
      <c r="AB276">
        <f t="shared" si="13"/>
        <v>4.6076692252650302</v>
      </c>
      <c r="AC276">
        <f t="shared" si="14"/>
        <v>-0.9945218953682734</v>
      </c>
    </row>
    <row r="277" spans="26:29">
      <c r="Z277">
        <f t="shared" si="12"/>
        <v>5.6213172158767186</v>
      </c>
      <c r="AA277">
        <v>265</v>
      </c>
      <c r="AB277">
        <f t="shared" si="13"/>
        <v>4.6251225177849733</v>
      </c>
      <c r="AC277">
        <f t="shared" si="14"/>
        <v>-0.99619469809174555</v>
      </c>
    </row>
    <row r="278" spans="26:29">
      <c r="Z278">
        <f t="shared" si="12"/>
        <v>5.6401398605647408</v>
      </c>
      <c r="AA278">
        <v>266</v>
      </c>
      <c r="AB278">
        <f t="shared" si="13"/>
        <v>4.6425758103049164</v>
      </c>
      <c r="AC278">
        <f t="shared" si="14"/>
        <v>-0.9975640502598242</v>
      </c>
    </row>
    <row r="279" spans="26:29">
      <c r="Z279">
        <f t="shared" si="12"/>
        <v>5.6586586375794337</v>
      </c>
      <c r="AA279">
        <v>267</v>
      </c>
      <c r="AB279">
        <f t="shared" si="13"/>
        <v>4.6600291028248595</v>
      </c>
      <c r="AC279">
        <f t="shared" si="14"/>
        <v>-0.99862953475457383</v>
      </c>
    </row>
    <row r="280" spans="26:29">
      <c r="Z280">
        <f t="shared" si="12"/>
        <v>5.6768732223638985</v>
      </c>
      <c r="AA280">
        <v>268</v>
      </c>
      <c r="AB280">
        <f t="shared" si="13"/>
        <v>4.6774823953448026</v>
      </c>
      <c r="AC280">
        <f t="shared" si="14"/>
        <v>-0.99939082701909565</v>
      </c>
    </row>
    <row r="281" spans="26:29">
      <c r="Z281">
        <f t="shared" si="12"/>
        <v>5.6947833830211376</v>
      </c>
      <c r="AA281">
        <v>269</v>
      </c>
      <c r="AB281">
        <f t="shared" si="13"/>
        <v>4.6949356878647466</v>
      </c>
      <c r="AC281">
        <f t="shared" si="14"/>
        <v>-0.99984769515639127</v>
      </c>
    </row>
    <row r="282" spans="26:29">
      <c r="Z282">
        <f t="shared" si="12"/>
        <v>5.7123889803846897</v>
      </c>
      <c r="AA282">
        <v>270</v>
      </c>
      <c r="AB282">
        <f t="shared" si="13"/>
        <v>4.7123889803846897</v>
      </c>
      <c r="AC282">
        <f t="shared" si="14"/>
        <v>-1</v>
      </c>
    </row>
    <row r="283" spans="26:29">
      <c r="Z283">
        <f t="shared" si="12"/>
        <v>5.7296899680610238</v>
      </c>
      <c r="AA283">
        <v>271</v>
      </c>
      <c r="AB283">
        <f t="shared" si="13"/>
        <v>4.7298422729046328</v>
      </c>
      <c r="AC283">
        <f t="shared" si="14"/>
        <v>-0.99984769515639127</v>
      </c>
    </row>
    <row r="284" spans="26:29">
      <c r="Z284">
        <f t="shared" si="12"/>
        <v>5.7466863924436726</v>
      </c>
      <c r="AA284">
        <v>272</v>
      </c>
      <c r="AB284">
        <f t="shared" si="13"/>
        <v>4.7472955654245768</v>
      </c>
      <c r="AC284">
        <f t="shared" si="14"/>
        <v>-0.99939082701909576</v>
      </c>
    </row>
    <row r="285" spans="26:29">
      <c r="Z285">
        <f t="shared" si="12"/>
        <v>5.763378392699094</v>
      </c>
      <c r="AA285">
        <v>273</v>
      </c>
      <c r="AB285">
        <f t="shared" si="13"/>
        <v>4.7647488579445199</v>
      </c>
      <c r="AC285">
        <f t="shared" si="14"/>
        <v>-0.99862953475457383</v>
      </c>
    </row>
    <row r="286" spans="26:29">
      <c r="Z286">
        <f t="shared" si="12"/>
        <v>5.7797662007242874</v>
      </c>
      <c r="AA286">
        <v>274</v>
      </c>
      <c r="AB286">
        <f t="shared" si="13"/>
        <v>4.782202150464463</v>
      </c>
      <c r="AC286">
        <f t="shared" si="14"/>
        <v>-0.99756405025982431</v>
      </c>
    </row>
    <row r="287" spans="26:29">
      <c r="Z287">
        <f t="shared" si="12"/>
        <v>5.7958501410761514</v>
      </c>
      <c r="AA287">
        <v>275</v>
      </c>
      <c r="AB287">
        <f t="shared" si="13"/>
        <v>4.7996554429844061</v>
      </c>
      <c r="AC287">
        <f t="shared" si="14"/>
        <v>-0.99619469809174555</v>
      </c>
    </row>
    <row r="288" spans="26:29">
      <c r="Z288">
        <f t="shared" si="12"/>
        <v>5.8116306308726227</v>
      </c>
      <c r="AA288">
        <v>276</v>
      </c>
      <c r="AB288">
        <f t="shared" si="13"/>
        <v>4.8171087355043491</v>
      </c>
      <c r="AC288">
        <f t="shared" si="14"/>
        <v>-0.9945218953682734</v>
      </c>
    </row>
    <row r="289" spans="26:29">
      <c r="Z289">
        <f t="shared" si="12"/>
        <v>5.8271081796656148</v>
      </c>
      <c r="AA289">
        <v>277</v>
      </c>
      <c r="AB289">
        <f t="shared" si="13"/>
        <v>4.8345620280242931</v>
      </c>
      <c r="AC289">
        <f t="shared" si="14"/>
        <v>-0.99254615164132198</v>
      </c>
    </row>
    <row r="290" spans="26:29">
      <c r="Z290">
        <f t="shared" si="12"/>
        <v>5.8422833892858064</v>
      </c>
      <c r="AA290">
        <v>278</v>
      </c>
      <c r="AB290">
        <f t="shared" si="13"/>
        <v>4.8520153205442362</v>
      </c>
      <c r="AC290">
        <f t="shared" si="14"/>
        <v>-0.99026806874157036</v>
      </c>
    </row>
    <row r="291" spans="26:29">
      <c r="Z291">
        <f t="shared" si="12"/>
        <v>5.8571569536593167</v>
      </c>
      <c r="AA291">
        <v>279</v>
      </c>
      <c r="AB291">
        <f t="shared" si="13"/>
        <v>4.8694686130641793</v>
      </c>
      <c r="AC291">
        <f t="shared" si="14"/>
        <v>-0.98768834059513777</v>
      </c>
    </row>
    <row r="292" spans="26:29">
      <c r="Z292">
        <f t="shared" si="12"/>
        <v>5.8717296585963306</v>
      </c>
      <c r="AA292">
        <v>280</v>
      </c>
      <c r="AB292">
        <f t="shared" si="13"/>
        <v>4.8869219055841224</v>
      </c>
      <c r="AC292">
        <f t="shared" si="14"/>
        <v>-0.98480775301220813</v>
      </c>
    </row>
    <row r="293" spans="26:29">
      <c r="Z293">
        <f t="shared" si="12"/>
        <v>5.8860023815517293</v>
      </c>
      <c r="AA293">
        <v>281</v>
      </c>
      <c r="AB293">
        <f t="shared" si="13"/>
        <v>4.9043751981040655</v>
      </c>
      <c r="AC293">
        <f t="shared" si="14"/>
        <v>-0.98162718344766409</v>
      </c>
    </row>
    <row r="294" spans="26:29">
      <c r="Z294">
        <f t="shared" si="12"/>
        <v>5.8999760913578143</v>
      </c>
      <c r="AA294">
        <v>282</v>
      </c>
      <c r="AB294">
        <f t="shared" si="13"/>
        <v>4.9218284906240086</v>
      </c>
      <c r="AC294">
        <f t="shared" si="14"/>
        <v>-0.9781476007338058</v>
      </c>
    </row>
    <row r="295" spans="26:29">
      <c r="Z295">
        <f t="shared" si="12"/>
        <v>5.913651847929188</v>
      </c>
      <c r="AA295">
        <v>283</v>
      </c>
      <c r="AB295">
        <f t="shared" si="13"/>
        <v>4.9392817831439526</v>
      </c>
      <c r="AC295">
        <f t="shared" si="14"/>
        <v>-0.97437006478523525</v>
      </c>
    </row>
    <row r="296" spans="26:29">
      <c r="Z296">
        <f t="shared" si="12"/>
        <v>5.9270308019398925</v>
      </c>
      <c r="AA296">
        <v>284</v>
      </c>
      <c r="AB296">
        <f t="shared" si="13"/>
        <v>4.9567350756638957</v>
      </c>
      <c r="AC296">
        <f t="shared" si="14"/>
        <v>-0.97029572627599658</v>
      </c>
    </row>
    <row r="297" spans="26:29">
      <c r="Z297">
        <f t="shared" si="12"/>
        <v>5.9401141944729083</v>
      </c>
      <c r="AA297">
        <v>285</v>
      </c>
      <c r="AB297">
        <f t="shared" si="13"/>
        <v>4.9741883681838397</v>
      </c>
      <c r="AC297">
        <f t="shared" si="14"/>
        <v>-0.9659258262890682</v>
      </c>
    </row>
    <row r="298" spans="26:29">
      <c r="Z298">
        <f t="shared" si="12"/>
        <v>5.9529033566421017</v>
      </c>
      <c r="AA298">
        <v>286</v>
      </c>
      <c r="AB298">
        <f t="shared" si="13"/>
        <v>4.9916416607037828</v>
      </c>
      <c r="AC298">
        <f t="shared" si="14"/>
        <v>-0.96126169593831878</v>
      </c>
    </row>
    <row r="299" spans="26:29">
      <c r="Z299">
        <f t="shared" si="12"/>
        <v>5.9653997091867614</v>
      </c>
      <c r="AA299">
        <v>287</v>
      </c>
      <c r="AB299">
        <f t="shared" si="13"/>
        <v>5.0090949532237259</v>
      </c>
      <c r="AC299">
        <f t="shared" si="14"/>
        <v>-0.95630475596303544</v>
      </c>
    </row>
    <row r="300" spans="26:29">
      <c r="Z300">
        <f t="shared" si="12"/>
        <v>5.9776047620388226</v>
      </c>
      <c r="AA300">
        <v>288</v>
      </c>
      <c r="AB300">
        <f t="shared" si="13"/>
        <v>5.026548245743669</v>
      </c>
      <c r="AC300">
        <f t="shared" si="14"/>
        <v>-0.95105651629515364</v>
      </c>
    </row>
    <row r="301" spans="26:29">
      <c r="Z301">
        <f t="shared" si="12"/>
        <v>5.9895201138629286</v>
      </c>
      <c r="AA301">
        <v>289</v>
      </c>
      <c r="AB301">
        <f t="shared" si="13"/>
        <v>5.0440015382636121</v>
      </c>
      <c r="AC301">
        <f t="shared" si="14"/>
        <v>-0.94551857559931696</v>
      </c>
    </row>
    <row r="302" spans="26:29">
      <c r="Z302">
        <f t="shared" si="12"/>
        <v>6.0011474515694641</v>
      </c>
      <c r="AA302">
        <v>290</v>
      </c>
      <c r="AB302">
        <f t="shared" si="13"/>
        <v>5.0614548307835552</v>
      </c>
      <c r="AC302">
        <f t="shared" si="14"/>
        <v>-0.93969262078590854</v>
      </c>
    </row>
    <row r="303" spans="26:29">
      <c r="Z303">
        <f t="shared" si="12"/>
        <v>6.0124885498007004</v>
      </c>
      <c r="AA303">
        <v>291</v>
      </c>
      <c r="AB303">
        <f t="shared" si="13"/>
        <v>5.0789081233034983</v>
      </c>
      <c r="AC303">
        <f t="shared" si="14"/>
        <v>-0.93358042649720208</v>
      </c>
    </row>
    <row r="304" spans="26:29">
      <c r="Z304">
        <f t="shared" si="12"/>
        <v>6.0235452703902297</v>
      </c>
      <c r="AA304">
        <v>292</v>
      </c>
      <c r="AB304">
        <f t="shared" si="13"/>
        <v>5.0963614158234423</v>
      </c>
      <c r="AC304">
        <f t="shared" si="14"/>
        <v>-0.92718385456678742</v>
      </c>
    </row>
    <row r="305" spans="26:29">
      <c r="Z305">
        <f t="shared" si="12"/>
        <v>6.0343195617958258</v>
      </c>
      <c r="AA305">
        <v>293</v>
      </c>
      <c r="AB305">
        <f t="shared" si="13"/>
        <v>5.1138147083433854</v>
      </c>
      <c r="AC305">
        <f t="shared" si="14"/>
        <v>-0.92050485345244049</v>
      </c>
    </row>
    <row r="306" spans="26:29">
      <c r="Z306">
        <f t="shared" si="12"/>
        <v>6.0448134585059297</v>
      </c>
      <c r="AA306">
        <v>294</v>
      </c>
      <c r="AB306">
        <f t="shared" si="13"/>
        <v>5.1312680008633293</v>
      </c>
      <c r="AC306">
        <f t="shared" si="14"/>
        <v>-0.91354545764260076</v>
      </c>
    </row>
    <row r="307" spans="26:29">
      <c r="Z307">
        <f t="shared" si="12"/>
        <v>6.0550290804199225</v>
      </c>
      <c r="AA307">
        <v>295</v>
      </c>
      <c r="AB307">
        <f t="shared" si="13"/>
        <v>5.1487212933832724</v>
      </c>
      <c r="AC307">
        <f t="shared" si="14"/>
        <v>-0.90630778703664994</v>
      </c>
    </row>
    <row r="308" spans="26:29">
      <c r="Z308">
        <f t="shared" si="12"/>
        <v>6.0649686322023824</v>
      </c>
      <c r="AA308">
        <v>296</v>
      </c>
      <c r="AB308">
        <f t="shared" si="13"/>
        <v>5.1661745859032155</v>
      </c>
      <c r="AC308">
        <f t="shared" si="14"/>
        <v>-0.89879404629916704</v>
      </c>
    </row>
    <row r="309" spans="26:29">
      <c r="Z309">
        <f t="shared" si="12"/>
        <v>6.0746344026115269</v>
      </c>
      <c r="AA309">
        <v>297</v>
      </c>
      <c r="AB309">
        <f t="shared" si="13"/>
        <v>5.1836278784231586</v>
      </c>
      <c r="AC309">
        <f t="shared" si="14"/>
        <v>-0.8910065241883679</v>
      </c>
    </row>
    <row r="310" spans="26:29">
      <c r="Z310">
        <f t="shared" si="12"/>
        <v>6.0840287638020287</v>
      </c>
      <c r="AA310">
        <v>298</v>
      </c>
      <c r="AB310">
        <f t="shared" si="13"/>
        <v>5.2010811709431017</v>
      </c>
      <c r="AC310">
        <f t="shared" si="14"/>
        <v>-0.8829475928589271</v>
      </c>
    </row>
    <row r="311" spans="26:29">
      <c r="Z311">
        <f t="shared" si="12"/>
        <v>6.0931541706024408</v>
      </c>
      <c r="AA311">
        <v>299</v>
      </c>
      <c r="AB311">
        <f t="shared" si="13"/>
        <v>5.2185344634630448</v>
      </c>
      <c r="AC311">
        <f t="shared" si="14"/>
        <v>-0.87461970713939607</v>
      </c>
    </row>
    <row r="312" spans="26:29">
      <c r="Z312">
        <f t="shared" si="12"/>
        <v>6.1020131597674272</v>
      </c>
      <c r="AA312">
        <v>300</v>
      </c>
      <c r="AB312">
        <f t="shared" si="13"/>
        <v>5.2359877559829888</v>
      </c>
      <c r="AC312">
        <f t="shared" si="14"/>
        <v>-0.8660254037844386</v>
      </c>
    </row>
    <row r="313" spans="26:29">
      <c r="Z313">
        <f t="shared" si="12"/>
        <v>6.1106083492050445</v>
      </c>
      <c r="AA313">
        <v>301</v>
      </c>
      <c r="AB313">
        <f t="shared" si="13"/>
        <v>5.2534410485029319</v>
      </c>
      <c r="AC313">
        <f t="shared" si="14"/>
        <v>-0.85716730070211233</v>
      </c>
    </row>
    <row r="314" spans="26:29">
      <c r="Z314">
        <f t="shared" si="12"/>
        <v>6.1189424371793013</v>
      </c>
      <c r="AA314">
        <v>302</v>
      </c>
      <c r="AB314">
        <f t="shared" si="13"/>
        <v>5.270894341022875</v>
      </c>
      <c r="AC314">
        <f t="shared" si="14"/>
        <v>-0.84804809615642618</v>
      </c>
    </row>
    <row r="315" spans="26:29">
      <c r="Z315">
        <f t="shared" si="12"/>
        <v>6.1270182014882426</v>
      </c>
      <c r="AA315">
        <v>303</v>
      </c>
      <c r="AB315">
        <f t="shared" si="13"/>
        <v>5.2883476335428181</v>
      </c>
      <c r="AC315">
        <f t="shared" si="14"/>
        <v>-0.83867056794542427</v>
      </c>
    </row>
    <row r="316" spans="26:29">
      <c r="Z316">
        <f t="shared" si="12"/>
        <v>6.1348384986178033</v>
      </c>
      <c r="AA316">
        <v>304</v>
      </c>
      <c r="AB316">
        <f t="shared" si="13"/>
        <v>5.3058009260627612</v>
      </c>
      <c r="AC316">
        <f t="shared" si="14"/>
        <v>-0.82903757255504207</v>
      </c>
    </row>
    <row r="317" spans="26:29">
      <c r="Z317">
        <f t="shared" si="12"/>
        <v>6.1424062628716971</v>
      </c>
      <c r="AA317">
        <v>305</v>
      </c>
      <c r="AB317">
        <f t="shared" si="13"/>
        <v>5.3232542185827052</v>
      </c>
      <c r="AC317">
        <f t="shared" si="14"/>
        <v>-0.8191520442889918</v>
      </c>
    </row>
    <row r="318" spans="26:29">
      <c r="Z318">
        <f t="shared" si="12"/>
        <v>6.1497245054775957</v>
      </c>
      <c r="AA318">
        <v>306</v>
      </c>
      <c r="AB318">
        <f t="shared" si="13"/>
        <v>5.3407075111026483</v>
      </c>
      <c r="AC318">
        <f t="shared" si="14"/>
        <v>-0.80901699437494756</v>
      </c>
    </row>
    <row r="319" spans="26:29">
      <c r="Z319">
        <f t="shared" si="12"/>
        <v>6.1567963136698847</v>
      </c>
      <c r="AA319">
        <v>307</v>
      </c>
      <c r="AB319">
        <f t="shared" si="13"/>
        <v>5.3581608036225914</v>
      </c>
      <c r="AC319">
        <f t="shared" si="14"/>
        <v>-0.79863551004729305</v>
      </c>
    </row>
    <row r="320" spans="26:29">
      <c r="Z320">
        <f t="shared" si="12"/>
        <v>6.1636248497492572</v>
      </c>
      <c r="AA320">
        <v>308</v>
      </c>
      <c r="AB320">
        <f t="shared" si="13"/>
        <v>5.3756140961425354</v>
      </c>
      <c r="AC320">
        <f t="shared" si="14"/>
        <v>-0.78801075360672179</v>
      </c>
    </row>
    <row r="321" spans="26:29">
      <c r="Z321">
        <f t="shared" si="12"/>
        <v>6.1702133501194494</v>
      </c>
      <c r="AA321">
        <v>309</v>
      </c>
      <c r="AB321">
        <f t="shared" si="13"/>
        <v>5.3930673886624785</v>
      </c>
      <c r="AC321">
        <f t="shared" si="14"/>
        <v>-0.77714596145697079</v>
      </c>
    </row>
    <row r="322" spans="26:29">
      <c r="Z322">
        <f t="shared" si="12"/>
        <v>6.1765651243013995</v>
      </c>
      <c r="AA322">
        <v>310</v>
      </c>
      <c r="AB322">
        <f t="shared" si="13"/>
        <v>5.4105206811824216</v>
      </c>
      <c r="AC322">
        <f t="shared" si="14"/>
        <v>-0.76604444311897812</v>
      </c>
    </row>
    <row r="323" spans="26:29">
      <c r="Z323">
        <f t="shared" si="12"/>
        <v>6.1826835539251368</v>
      </c>
      <c r="AA323">
        <v>311</v>
      </c>
      <c r="AB323">
        <f t="shared" si="13"/>
        <v>5.4279739737023647</v>
      </c>
      <c r="AC323">
        <f t="shared" si="14"/>
        <v>-0.75470958022277224</v>
      </c>
    </row>
    <row r="324" spans="26:29">
      <c r="Z324">
        <f t="shared" si="12"/>
        <v>6.1885720916997027</v>
      </c>
      <c r="AA324">
        <v>312</v>
      </c>
      <c r="AB324">
        <f t="shared" si="13"/>
        <v>5.4454272662223078</v>
      </c>
      <c r="AC324">
        <f t="shared" si="14"/>
        <v>-0.74314482547739458</v>
      </c>
    </row>
    <row r="325" spans="26:29">
      <c r="Z325">
        <f t="shared" si="12"/>
        <v>6.194234260361422</v>
      </c>
      <c r="AA325">
        <v>313</v>
      </c>
      <c r="AB325">
        <f t="shared" si="13"/>
        <v>5.4628805587422509</v>
      </c>
      <c r="AC325">
        <f t="shared" si="14"/>
        <v>-0.73135370161917101</v>
      </c>
    </row>
    <row r="326" spans="26:29">
      <c r="Z326">
        <f t="shared" si="12"/>
        <v>6.1996736516008459</v>
      </c>
      <c r="AA326">
        <v>314</v>
      </c>
      <c r="AB326">
        <f t="shared" si="13"/>
        <v>5.480333851262194</v>
      </c>
      <c r="AC326">
        <f t="shared" si="14"/>
        <v>-0.71933980033865175</v>
      </c>
    </row>
    <row r="327" spans="26:29">
      <c r="Z327">
        <f t="shared" si="12"/>
        <v>6.2048939249686859</v>
      </c>
      <c r="AA327">
        <v>315</v>
      </c>
      <c r="AB327">
        <f t="shared" si="13"/>
        <v>5.497787143782138</v>
      </c>
      <c r="AC327">
        <f t="shared" si="14"/>
        <v>-0.70710678118654768</v>
      </c>
    </row>
    <row r="328" spans="26:29">
      <c r="Z328">
        <f t="shared" si="12"/>
        <v>6.2098988067610783</v>
      </c>
      <c r="AA328">
        <v>316</v>
      </c>
      <c r="AB328">
        <f t="shared" si="13"/>
        <v>5.5152404363020811</v>
      </c>
      <c r="AC328">
        <f t="shared" si="14"/>
        <v>-0.69465837045899759</v>
      </c>
    </row>
    <row r="329" spans="26:29">
      <c r="Z329">
        <f t="shared" si="12"/>
        <v>6.2146920888845232</v>
      </c>
      <c r="AA329">
        <v>317</v>
      </c>
      <c r="AB329">
        <f t="shared" si="13"/>
        <v>5.532693728822025</v>
      </c>
      <c r="AC329">
        <f t="shared" si="14"/>
        <v>-0.68199836006249825</v>
      </c>
    </row>
    <row r="330" spans="26:29">
      <c r="Z330">
        <f t="shared" si="12"/>
        <v>6.2192776277008264</v>
      </c>
      <c r="AA330">
        <v>318</v>
      </c>
      <c r="AB330">
        <f t="shared" si="13"/>
        <v>5.5501470213419681</v>
      </c>
      <c r="AC330">
        <f t="shared" si="14"/>
        <v>-0.66913060635885813</v>
      </c>
    </row>
    <row r="331" spans="26:29">
      <c r="Z331">
        <f t="shared" si="12"/>
        <v>6.223659342852419</v>
      </c>
      <c r="AA331">
        <v>319</v>
      </c>
      <c r="AB331">
        <f t="shared" si="13"/>
        <v>5.5676003138619112</v>
      </c>
      <c r="AC331">
        <f t="shared" si="14"/>
        <v>-0.65605902899050739</v>
      </c>
    </row>
    <row r="332" spans="26:29">
      <c r="Z332">
        <f t="shared" si="12"/>
        <v>6.227841216068394</v>
      </c>
      <c r="AA332">
        <v>320</v>
      </c>
      <c r="AB332">
        <f t="shared" si="13"/>
        <v>5.5850536063818543</v>
      </c>
      <c r="AC332">
        <f t="shared" si="14"/>
        <v>-0.64278760968653958</v>
      </c>
    </row>
    <row r="333" spans="26:29">
      <c r="Z333">
        <f t="shared" ref="Z333:Z372" si="15">AB333-SIN(AB333)</f>
        <v>6.2318272899516352</v>
      </c>
      <c r="AA333">
        <v>321</v>
      </c>
      <c r="AB333">
        <f t="shared" ref="AB333:AB372" si="16">AA333*PI()/180</f>
        <v>5.6025068989017974</v>
      </c>
      <c r="AC333">
        <f t="shared" ref="AC333:AC372" si="17">SIN(AB333)</f>
        <v>-0.62932039104983784</v>
      </c>
    </row>
    <row r="334" spans="26:29">
      <c r="Z334">
        <f t="shared" si="15"/>
        <v>6.2356216667473996</v>
      </c>
      <c r="AA334">
        <v>322</v>
      </c>
      <c r="AB334">
        <f t="shared" si="16"/>
        <v>5.6199601914217405</v>
      </c>
      <c r="AC334">
        <f t="shared" si="17"/>
        <v>-0.61566147532565885</v>
      </c>
    </row>
    <row r="335" spans="26:29">
      <c r="Z335">
        <f t="shared" si="15"/>
        <v>6.239228507093733</v>
      </c>
      <c r="AA335">
        <v>323</v>
      </c>
      <c r="AB335">
        <f t="shared" si="16"/>
        <v>5.6374134839416845</v>
      </c>
      <c r="AC335">
        <f t="shared" si="17"/>
        <v>-0.60181502315204827</v>
      </c>
    </row>
    <row r="336" spans="26:29">
      <c r="Z336">
        <f t="shared" si="15"/>
        <v>6.242652028754101</v>
      </c>
      <c r="AA336">
        <v>324</v>
      </c>
      <c r="AB336">
        <f t="shared" si="16"/>
        <v>5.6548667764616276</v>
      </c>
      <c r="AC336">
        <f t="shared" si="17"/>
        <v>-0.58778525229247336</v>
      </c>
    </row>
    <row r="337" spans="26:29">
      <c r="Z337">
        <f t="shared" si="15"/>
        <v>6.2458965053326168</v>
      </c>
      <c r="AA337">
        <v>325</v>
      </c>
      <c r="AB337">
        <f t="shared" si="16"/>
        <v>5.6723200689815707</v>
      </c>
      <c r="AC337">
        <f t="shared" si="17"/>
        <v>-0.57357643635104649</v>
      </c>
    </row>
    <row r="338" spans="26:29">
      <c r="Z338">
        <f t="shared" si="15"/>
        <v>6.2489662649722613</v>
      </c>
      <c r="AA338">
        <v>326</v>
      </c>
      <c r="AB338">
        <f t="shared" si="16"/>
        <v>5.6897733615015138</v>
      </c>
      <c r="AC338">
        <f t="shared" si="17"/>
        <v>-0.55919290347074735</v>
      </c>
    </row>
    <row r="339" spans="26:29">
      <c r="Z339">
        <f t="shared" si="15"/>
        <v>6.2518656890364852</v>
      </c>
      <c r="AA339">
        <v>327</v>
      </c>
      <c r="AB339">
        <f t="shared" si="16"/>
        <v>5.7072266540214578</v>
      </c>
      <c r="AC339">
        <f t="shared" si="17"/>
        <v>-0.54463903501502697</v>
      </c>
    </row>
    <row r="340" spans="26:29">
      <c r="Z340">
        <f t="shared" si="15"/>
        <v>6.2545992107746056</v>
      </c>
      <c r="AA340">
        <v>328</v>
      </c>
      <c r="AB340">
        <f t="shared" si="16"/>
        <v>5.7246799465414</v>
      </c>
      <c r="AC340">
        <f t="shared" si="17"/>
        <v>-0.52991926423320579</v>
      </c>
    </row>
    <row r="341" spans="26:29">
      <c r="Z341">
        <f t="shared" si="15"/>
        <v>6.2571713139713987</v>
      </c>
      <c r="AA341">
        <v>329</v>
      </c>
      <c r="AB341">
        <f t="shared" si="16"/>
        <v>5.742133239061344</v>
      </c>
      <c r="AC341">
        <f t="shared" si="17"/>
        <v>-0.51503807491005449</v>
      </c>
    </row>
    <row r="342" spans="26:29">
      <c r="Z342">
        <f t="shared" si="15"/>
        <v>6.259586531581288</v>
      </c>
      <c r="AA342">
        <v>330</v>
      </c>
      <c r="AB342">
        <f t="shared" si="16"/>
        <v>5.7595865315812871</v>
      </c>
      <c r="AC342">
        <f t="shared" si="17"/>
        <v>-0.50000000000000044</v>
      </c>
    </row>
    <row r="343" spans="26:29">
      <c r="Z343">
        <f t="shared" si="15"/>
        <v>6.2618494443475683</v>
      </c>
      <c r="AA343">
        <v>331</v>
      </c>
      <c r="AB343">
        <f t="shared" si="16"/>
        <v>5.7770398241012311</v>
      </c>
      <c r="AC343">
        <f t="shared" si="17"/>
        <v>-0.48480962024633689</v>
      </c>
    </row>
    <row r="344" spans="26:29">
      <c r="Z344">
        <f t="shared" si="15"/>
        <v>6.2639646794070654</v>
      </c>
      <c r="AA344">
        <v>332</v>
      </c>
      <c r="AB344">
        <f t="shared" si="16"/>
        <v>5.7944931166211742</v>
      </c>
      <c r="AC344">
        <f t="shared" si="17"/>
        <v>-0.46947156278589081</v>
      </c>
    </row>
    <row r="345" spans="26:29">
      <c r="Z345">
        <f t="shared" si="15"/>
        <v>6.265936908880664</v>
      </c>
      <c r="AA345">
        <v>333</v>
      </c>
      <c r="AB345">
        <f t="shared" si="16"/>
        <v>5.8119464091411173</v>
      </c>
      <c r="AC345">
        <f t="shared" si="17"/>
        <v>-0.45399049973954697</v>
      </c>
    </row>
    <row r="346" spans="26:29">
      <c r="Z346">
        <f t="shared" si="15"/>
        <v>6.2677708484501382</v>
      </c>
      <c r="AA346">
        <v>334</v>
      </c>
      <c r="AB346">
        <f t="shared" si="16"/>
        <v>5.8293997016610613</v>
      </c>
      <c r="AC346">
        <f t="shared" si="17"/>
        <v>-0.43837114678907702</v>
      </c>
    </row>
    <row r="347" spans="26:29">
      <c r="Z347">
        <f t="shared" si="15"/>
        <v>6.2694712559217036</v>
      </c>
      <c r="AA347">
        <v>335</v>
      </c>
      <c r="AB347">
        <f t="shared" si="16"/>
        <v>5.8468529941810035</v>
      </c>
      <c r="AC347">
        <f t="shared" si="17"/>
        <v>-0.4226182617407</v>
      </c>
    </row>
    <row r="348" spans="26:29">
      <c r="Z348">
        <f t="shared" si="15"/>
        <v>6.2710429297767476</v>
      </c>
      <c r="AA348">
        <v>336</v>
      </c>
      <c r="AB348">
        <f t="shared" si="16"/>
        <v>5.8643062867009474</v>
      </c>
      <c r="AC348">
        <f t="shared" si="17"/>
        <v>-0.40673664307580015</v>
      </c>
    </row>
    <row r="349" spans="26:29">
      <c r="Z349">
        <f t="shared" si="15"/>
        <v>6.2724907077101646</v>
      </c>
      <c r="AA349">
        <v>337</v>
      </c>
      <c r="AB349">
        <f t="shared" si="16"/>
        <v>5.8817595792208897</v>
      </c>
      <c r="AC349">
        <f t="shared" si="17"/>
        <v>-0.39073112848927471</v>
      </c>
    </row>
    <row r="350" spans="26:29">
      <c r="Z350">
        <f t="shared" si="15"/>
        <v>6.2738194651567456</v>
      </c>
      <c r="AA350">
        <v>338</v>
      </c>
      <c r="AB350">
        <f t="shared" si="16"/>
        <v>5.8992128717408336</v>
      </c>
      <c r="AC350">
        <f t="shared" si="17"/>
        <v>-0.37460659341591235</v>
      </c>
    </row>
    <row r="351" spans="26:29">
      <c r="Z351">
        <f t="shared" si="15"/>
        <v>6.2750341138060772</v>
      </c>
      <c r="AA351">
        <v>339</v>
      </c>
      <c r="AB351">
        <f t="shared" si="16"/>
        <v>5.9166661642607767</v>
      </c>
      <c r="AC351">
        <f t="shared" si="17"/>
        <v>-0.35836794954530077</v>
      </c>
    </row>
    <row r="352" spans="26:29">
      <c r="Z352">
        <f t="shared" si="15"/>
        <v>6.2761396001063892</v>
      </c>
      <c r="AA352">
        <v>340</v>
      </c>
      <c r="AB352">
        <f t="shared" si="16"/>
        <v>5.9341194567807207</v>
      </c>
      <c r="AC352">
        <f t="shared" si="17"/>
        <v>-0.3420201433256686</v>
      </c>
    </row>
    <row r="353" spans="26:29">
      <c r="Z353">
        <f t="shared" si="15"/>
        <v>6.2771409037578207</v>
      </c>
      <c r="AA353">
        <v>341</v>
      </c>
      <c r="AB353">
        <f t="shared" si="16"/>
        <v>5.9515727493006629</v>
      </c>
      <c r="AC353">
        <f t="shared" si="17"/>
        <v>-0.32556815445715753</v>
      </c>
    </row>
    <row r="354" spans="26:29">
      <c r="Z354">
        <f t="shared" si="15"/>
        <v>6.2780430361955544</v>
      </c>
      <c r="AA354">
        <v>342</v>
      </c>
      <c r="AB354">
        <f t="shared" si="16"/>
        <v>5.9690260418206069</v>
      </c>
      <c r="AC354">
        <f t="shared" si="17"/>
        <v>-0.30901699437494762</v>
      </c>
    </row>
    <row r="355" spans="26:29">
      <c r="Z355">
        <f t="shared" si="15"/>
        <v>6.2788510390632872</v>
      </c>
      <c r="AA355">
        <v>343</v>
      </c>
      <c r="AB355">
        <f t="shared" si="16"/>
        <v>5.9864793343405509</v>
      </c>
      <c r="AC355">
        <f t="shared" si="17"/>
        <v>-0.29237170472273627</v>
      </c>
    </row>
    <row r="356" spans="26:29">
      <c r="Z356">
        <f t="shared" si="15"/>
        <v>6.2795699826774927</v>
      </c>
      <c r="AA356">
        <v>344</v>
      </c>
      <c r="AB356">
        <f t="shared" si="16"/>
        <v>6.0039326268604931</v>
      </c>
      <c r="AC356">
        <f t="shared" si="17"/>
        <v>-0.27563735581699977</v>
      </c>
    </row>
    <row r="357" spans="26:29">
      <c r="Z357">
        <f t="shared" si="15"/>
        <v>6.2802049644829578</v>
      </c>
      <c r="AA357">
        <v>345</v>
      </c>
      <c r="AB357">
        <f t="shared" si="16"/>
        <v>6.0213859193804371</v>
      </c>
      <c r="AC357">
        <f t="shared" si="17"/>
        <v>-0.25881904510252068</v>
      </c>
    </row>
    <row r="358" spans="26:29">
      <c r="Z358">
        <f t="shared" si="15"/>
        <v>6.280761107500048</v>
      </c>
      <c r="AA358">
        <v>346</v>
      </c>
      <c r="AB358">
        <f t="shared" si="16"/>
        <v>6.0388392119003802</v>
      </c>
      <c r="AC358">
        <f t="shared" si="17"/>
        <v>-0.24192189559966787</v>
      </c>
    </row>
    <row r="359" spans="26:29">
      <c r="Z359">
        <f t="shared" si="15"/>
        <v>6.2812435587641886</v>
      </c>
      <c r="AA359">
        <v>347</v>
      </c>
      <c r="AB359">
        <f t="shared" si="16"/>
        <v>6.0562925044203233</v>
      </c>
      <c r="AC359">
        <f t="shared" si="17"/>
        <v>-0.22495105434386534</v>
      </c>
    </row>
    <row r="360" spans="26:29">
      <c r="Z360">
        <f t="shared" si="15"/>
        <v>6.281657487758026</v>
      </c>
      <c r="AA360">
        <v>348</v>
      </c>
      <c r="AB360">
        <f t="shared" si="16"/>
        <v>6.0737457969402664</v>
      </c>
      <c r="AC360">
        <f t="shared" si="17"/>
        <v>-0.20791169081775987</v>
      </c>
    </row>
    <row r="361" spans="26:29">
      <c r="Z361">
        <f t="shared" si="15"/>
        <v>6.2820080848367548</v>
      </c>
      <c r="AA361">
        <v>349</v>
      </c>
      <c r="AB361">
        <f t="shared" si="16"/>
        <v>6.0911990894602104</v>
      </c>
      <c r="AC361">
        <f t="shared" si="17"/>
        <v>-0.19080899537654467</v>
      </c>
    </row>
    <row r="362" spans="26:29">
      <c r="Z362">
        <f t="shared" si="15"/>
        <v>6.2823005596470836</v>
      </c>
      <c r="AA362">
        <v>350</v>
      </c>
      <c r="AB362">
        <f t="shared" si="16"/>
        <v>6.1086523819801526</v>
      </c>
      <c r="AC362">
        <f t="shared" si="17"/>
        <v>-0.17364817766693127</v>
      </c>
    </row>
    <row r="363" spans="26:29">
      <c r="Z363">
        <f t="shared" si="15"/>
        <v>6.2825401395403278</v>
      </c>
      <c r="AA363">
        <v>351</v>
      </c>
      <c r="AB363">
        <f t="shared" si="16"/>
        <v>6.1261056745000966</v>
      </c>
      <c r="AC363">
        <f t="shared" si="17"/>
        <v>-0.15643446504023112</v>
      </c>
    </row>
    <row r="364" spans="26:29">
      <c r="Z364">
        <f t="shared" si="15"/>
        <v>6.2827320679801053</v>
      </c>
      <c r="AA364">
        <v>352</v>
      </c>
      <c r="AB364">
        <f t="shared" si="16"/>
        <v>6.1435589670200397</v>
      </c>
      <c r="AC364">
        <f t="shared" si="17"/>
        <v>-0.13917310096006588</v>
      </c>
    </row>
    <row r="365" spans="26:29">
      <c r="Z365">
        <f t="shared" si="15"/>
        <v>6.2828816029451309</v>
      </c>
      <c r="AA365">
        <v>353</v>
      </c>
      <c r="AB365">
        <f t="shared" si="16"/>
        <v>6.1610122595399828</v>
      </c>
      <c r="AC365">
        <f t="shared" si="17"/>
        <v>-0.12186934340514811</v>
      </c>
    </row>
    <row r="366" spans="26:29">
      <c r="Z366">
        <f t="shared" si="15"/>
        <v>6.2829940153275805</v>
      </c>
      <c r="AA366">
        <v>354</v>
      </c>
      <c r="AB366">
        <f t="shared" si="16"/>
        <v>6.1784655520599268</v>
      </c>
      <c r="AC366">
        <f t="shared" si="17"/>
        <v>-0.10452846326765342</v>
      </c>
    </row>
    <row r="367" spans="26:29">
      <c r="Z367">
        <f t="shared" si="15"/>
        <v>6.283074587327528</v>
      </c>
      <c r="AA367">
        <v>355</v>
      </c>
      <c r="AB367">
        <f t="shared" si="16"/>
        <v>6.1959188445798699</v>
      </c>
      <c r="AC367">
        <f t="shared" si="17"/>
        <v>-8.7155742747658319E-2</v>
      </c>
    </row>
    <row r="368" spans="26:29">
      <c r="Z368">
        <f t="shared" si="15"/>
        <v>6.2831286108439386</v>
      </c>
      <c r="AA368">
        <v>356</v>
      </c>
      <c r="AB368">
        <f t="shared" si="16"/>
        <v>6.2133721370998138</v>
      </c>
      <c r="AC368">
        <f t="shared" si="17"/>
        <v>-6.9756473744124761E-2</v>
      </c>
    </row>
    <row r="369" spans="26:29">
      <c r="Z369">
        <f t="shared" si="15"/>
        <v>6.2831613858627007</v>
      </c>
      <c r="AA369">
        <v>357</v>
      </c>
      <c r="AB369">
        <f t="shared" si="16"/>
        <v>6.2308254296197561</v>
      </c>
      <c r="AC369">
        <f t="shared" si="17"/>
        <v>-5.2335956242944369E-2</v>
      </c>
    </row>
    <row r="370" spans="26:29">
      <c r="Z370">
        <f t="shared" si="15"/>
        <v>6.2831782188422007</v>
      </c>
      <c r="AA370">
        <v>358</v>
      </c>
      <c r="AB370">
        <f t="shared" si="16"/>
        <v>6.2482787221397</v>
      </c>
      <c r="AC370">
        <f t="shared" si="17"/>
        <v>-3.4899496702500823E-2</v>
      </c>
    </row>
    <row r="371" spans="26:29">
      <c r="Z371">
        <f t="shared" si="15"/>
        <v>6.2831844210969265</v>
      </c>
      <c r="AA371">
        <v>359</v>
      </c>
      <c r="AB371">
        <f t="shared" si="16"/>
        <v>6.2657320146596422</v>
      </c>
      <c r="AC371">
        <f t="shared" si="17"/>
        <v>-1.7452406437284448E-2</v>
      </c>
    </row>
    <row r="372" spans="26:29">
      <c r="Z372">
        <f t="shared" si="15"/>
        <v>6.2831853071795862</v>
      </c>
      <c r="AA372">
        <v>360</v>
      </c>
      <c r="AB372">
        <f t="shared" si="16"/>
        <v>6.2831853071795862</v>
      </c>
      <c r="AC372">
        <f t="shared" si="17"/>
        <v>-2.45029690981724E-16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B2B2-65E0-46DB-87DF-E6CD15E343D8}">
  <dimension ref="A1:Q197"/>
  <sheetViews>
    <sheetView zoomScaleNormal="55" workbookViewId="0">
      <selection activeCell="I13" sqref="I13"/>
    </sheetView>
  </sheetViews>
  <sheetFormatPr defaultRowHeight="15"/>
  <cols>
    <col min="1" max="1" width="40.5703125" style="240" customWidth="1"/>
    <col min="2" max="2" width="35.7109375" style="64" bestFit="1" customWidth="1"/>
    <col min="3" max="3" width="11.42578125" style="64" customWidth="1"/>
    <col min="4" max="4" width="18" style="64" customWidth="1"/>
    <col min="5" max="5" width="13.5703125" bestFit="1" customWidth="1"/>
    <col min="6" max="6" width="11.42578125" style="9" bestFit="1" customWidth="1"/>
    <col min="7" max="7" width="4.42578125" bestFit="1" customWidth="1"/>
    <col min="8" max="8" width="16.5703125" bestFit="1" customWidth="1"/>
    <col min="9" max="9" width="11.140625" bestFit="1" customWidth="1"/>
  </cols>
  <sheetData>
    <row r="1" spans="1:17" ht="69" customHeight="1">
      <c r="A1" s="85" t="s">
        <v>0</v>
      </c>
      <c r="B1" s="93"/>
      <c r="C1" s="92"/>
      <c r="D1" s="93"/>
      <c r="E1" s="32"/>
      <c r="F1" s="33"/>
      <c r="G1" s="32"/>
      <c r="H1" s="34"/>
    </row>
    <row r="2" spans="1:17" ht="23.45" customHeight="1">
      <c r="A2" s="292" t="s">
        <v>276</v>
      </c>
      <c r="B2" s="293"/>
      <c r="C2" s="293"/>
      <c r="D2" s="293"/>
      <c r="E2" s="293"/>
      <c r="F2" s="293"/>
      <c r="G2" s="293"/>
      <c r="H2" s="294"/>
      <c r="J2" s="40" t="s">
        <v>13</v>
      </c>
      <c r="K2" s="27"/>
      <c r="L2" s="27"/>
      <c r="M2" s="27"/>
      <c r="N2" s="25" t="s">
        <v>78</v>
      </c>
      <c r="O2" s="5"/>
      <c r="P2" s="5"/>
      <c r="Q2" s="5"/>
    </row>
    <row r="3" spans="1:17" ht="30">
      <c r="A3" s="68" t="s">
        <v>1</v>
      </c>
      <c r="B3" s="215" t="s">
        <v>277</v>
      </c>
      <c r="C3" s="68" t="s">
        <v>2</v>
      </c>
      <c r="D3" s="68" t="s">
        <v>2</v>
      </c>
      <c r="E3" s="69"/>
      <c r="F3" s="70"/>
      <c r="G3" s="69"/>
      <c r="H3" s="86"/>
      <c r="J3" s="41">
        <v>1</v>
      </c>
      <c r="K3" s="28" t="s">
        <v>5</v>
      </c>
      <c r="L3" s="28">
        <f>J3*12</f>
        <v>12</v>
      </c>
      <c r="M3" s="28" t="s">
        <v>4</v>
      </c>
      <c r="N3" s="5" t="s">
        <v>79</v>
      </c>
      <c r="O3" s="5"/>
      <c r="P3" s="5">
        <v>8.34</v>
      </c>
      <c r="Q3" s="5" t="s">
        <v>77</v>
      </c>
    </row>
    <row r="4" spans="1:17">
      <c r="A4" s="68" t="s">
        <v>170</v>
      </c>
      <c r="B4" s="215" t="s">
        <v>241</v>
      </c>
      <c r="C4" s="216" t="s">
        <v>18</v>
      </c>
      <c r="D4" s="71">
        <v>24</v>
      </c>
      <c r="E4" s="69" t="s">
        <v>4</v>
      </c>
      <c r="F4" s="70">
        <f>D4/12</f>
        <v>2</v>
      </c>
      <c r="G4" s="69" t="s">
        <v>5</v>
      </c>
      <c r="H4" s="86"/>
      <c r="J4" s="41">
        <v>6</v>
      </c>
      <c r="K4" s="28" t="s">
        <v>4</v>
      </c>
      <c r="L4" s="28">
        <f>J4/12</f>
        <v>0.5</v>
      </c>
      <c r="M4" s="28" t="s">
        <v>5</v>
      </c>
      <c r="N4" s="5"/>
      <c r="O4" s="5"/>
      <c r="P4" s="5">
        <v>62.4</v>
      </c>
      <c r="Q4" s="5" t="s">
        <v>76</v>
      </c>
    </row>
    <row r="5" spans="1:17">
      <c r="A5" s="68" t="s">
        <v>20</v>
      </c>
      <c r="B5" s="215" t="s">
        <v>139</v>
      </c>
      <c r="C5" s="216" t="s">
        <v>21</v>
      </c>
      <c r="D5" s="217">
        <f>D4/2</f>
        <v>12</v>
      </c>
      <c r="E5" s="69" t="s">
        <v>4</v>
      </c>
      <c r="F5" s="70">
        <f>F4/2</f>
        <v>1</v>
      </c>
      <c r="G5" s="69" t="s">
        <v>5</v>
      </c>
      <c r="H5" s="86"/>
      <c r="N5" s="5" t="s">
        <v>80</v>
      </c>
      <c r="O5" s="5"/>
      <c r="P5" s="5">
        <v>32.200000000000003</v>
      </c>
      <c r="Q5" s="5" t="s">
        <v>81</v>
      </c>
    </row>
    <row r="6" spans="1:17">
      <c r="A6" s="68"/>
      <c r="B6" s="215"/>
      <c r="C6" s="216"/>
      <c r="D6" s="71"/>
      <c r="E6" s="69"/>
      <c r="F6" s="70"/>
      <c r="G6" s="69"/>
      <c r="H6" s="86"/>
    </row>
    <row r="7" spans="1:17" ht="30">
      <c r="A7" s="68" t="s">
        <v>242</v>
      </c>
      <c r="B7" s="215" t="s">
        <v>148</v>
      </c>
      <c r="C7" s="216" t="s">
        <v>63</v>
      </c>
      <c r="D7" s="71">
        <v>48</v>
      </c>
      <c r="E7" s="69" t="s">
        <v>4</v>
      </c>
      <c r="F7" s="72">
        <f>D7/12</f>
        <v>4</v>
      </c>
      <c r="G7" s="69" t="s">
        <v>5</v>
      </c>
      <c r="H7" s="86"/>
    </row>
    <row r="8" spans="1:17">
      <c r="A8" s="68" t="s">
        <v>195</v>
      </c>
      <c r="B8" s="215" t="s">
        <v>147</v>
      </c>
      <c r="C8" s="216" t="s">
        <v>36</v>
      </c>
      <c r="D8" s="218">
        <v>0.01</v>
      </c>
      <c r="E8" s="66" t="s">
        <v>50</v>
      </c>
      <c r="F8" s="219" t="s">
        <v>118</v>
      </c>
      <c r="G8" s="69"/>
      <c r="H8" s="86"/>
    </row>
    <row r="9" spans="1:17">
      <c r="A9" s="68"/>
      <c r="B9" s="215"/>
      <c r="C9" s="216"/>
      <c r="D9" s="168">
        <f>D8</f>
        <v>0.01</v>
      </c>
      <c r="E9" s="66" t="s">
        <v>51</v>
      </c>
      <c r="F9" s="220"/>
      <c r="G9" s="219"/>
      <c r="H9" s="221"/>
    </row>
    <row r="10" spans="1:17" ht="30">
      <c r="A10" s="68" t="s">
        <v>231</v>
      </c>
      <c r="B10" s="215" t="s">
        <v>230</v>
      </c>
      <c r="C10" s="216" t="s">
        <v>16</v>
      </c>
      <c r="D10" s="222">
        <v>1.0999999999999999E-2</v>
      </c>
      <c r="E10" s="66"/>
      <c r="F10" s="220"/>
      <c r="G10" s="219"/>
      <c r="H10" s="221"/>
    </row>
    <row r="11" spans="1:17" ht="15.75" thickBot="1">
      <c r="A11" s="223"/>
      <c r="B11" s="224"/>
      <c r="C11" s="225"/>
      <c r="D11" s="226"/>
      <c r="E11" s="227"/>
      <c r="F11" s="228"/>
      <c r="G11" s="227"/>
      <c r="H11" s="229"/>
    </row>
    <row r="12" spans="1:17" ht="15.75" thickBot="1"/>
    <row r="13" spans="1:17" ht="18.75">
      <c r="A13" s="295" t="s">
        <v>243</v>
      </c>
      <c r="B13" s="296"/>
      <c r="C13" s="296"/>
      <c r="D13" s="296"/>
      <c r="E13" s="296"/>
      <c r="F13" s="296"/>
      <c r="G13" s="296"/>
      <c r="H13" s="297"/>
    </row>
    <row r="14" spans="1:17">
      <c r="A14" s="230" t="s">
        <v>244</v>
      </c>
      <c r="B14" s="106" t="s">
        <v>245</v>
      </c>
      <c r="C14" s="164" t="s">
        <v>23</v>
      </c>
      <c r="D14" s="231">
        <v>3</v>
      </c>
      <c r="E14" s="1" t="s">
        <v>4</v>
      </c>
      <c r="F14" s="24">
        <f>D14/12</f>
        <v>0.25</v>
      </c>
      <c r="G14" s="23" t="s">
        <v>5</v>
      </c>
      <c r="H14" s="87" t="s">
        <v>246</v>
      </c>
    </row>
    <row r="15" spans="1:17" hidden="1">
      <c r="A15" s="230" t="s">
        <v>142</v>
      </c>
      <c r="B15" s="106" t="s">
        <v>15</v>
      </c>
      <c r="C15" s="164" t="s">
        <v>65</v>
      </c>
      <c r="D15" s="231">
        <v>0</v>
      </c>
      <c r="E15" s="1" t="s">
        <v>7</v>
      </c>
      <c r="F15" s="24"/>
      <c r="G15" s="23"/>
      <c r="H15" s="87"/>
    </row>
    <row r="16" spans="1:17" ht="30" hidden="1">
      <c r="A16" s="230" t="s">
        <v>144</v>
      </c>
      <c r="B16" s="106" t="s">
        <v>14</v>
      </c>
      <c r="C16" s="164" t="s">
        <v>66</v>
      </c>
      <c r="D16" s="231">
        <v>0</v>
      </c>
      <c r="E16" s="1" t="s">
        <v>7</v>
      </c>
      <c r="F16" s="24"/>
      <c r="G16" s="23"/>
      <c r="H16" s="87"/>
    </row>
    <row r="17" spans="1:10" hidden="1">
      <c r="A17" s="230" t="s">
        <v>145</v>
      </c>
      <c r="B17" s="106" t="s">
        <v>247</v>
      </c>
      <c r="C17" s="165" t="s">
        <v>67</v>
      </c>
      <c r="D17" s="231">
        <v>0</v>
      </c>
      <c r="E17" s="1" t="s">
        <v>9</v>
      </c>
      <c r="F17" s="24"/>
      <c r="G17" s="23"/>
      <c r="H17" s="87"/>
    </row>
    <row r="18" spans="1:10" ht="30" hidden="1">
      <c r="A18" s="230" t="s">
        <v>146</v>
      </c>
      <c r="B18" s="106" t="s">
        <v>10</v>
      </c>
      <c r="C18" s="164" t="s">
        <v>68</v>
      </c>
      <c r="D18" s="232" t="s">
        <v>108</v>
      </c>
      <c r="E18" s="104" t="s">
        <v>11</v>
      </c>
      <c r="F18" s="107"/>
      <c r="G18" s="108"/>
      <c r="H18" s="131"/>
    </row>
    <row r="19" spans="1:10" ht="30">
      <c r="A19" s="230" t="s">
        <v>248</v>
      </c>
      <c r="B19" s="234" t="s">
        <v>249</v>
      </c>
      <c r="C19" s="164" t="s">
        <v>250</v>
      </c>
      <c r="D19" s="231">
        <v>24</v>
      </c>
      <c r="E19" s="104" t="s">
        <v>4</v>
      </c>
      <c r="F19" s="24">
        <f t="shared" ref="F19:F20" si="0">D19/12</f>
        <v>2</v>
      </c>
      <c r="G19" s="23" t="s">
        <v>5</v>
      </c>
      <c r="H19" s="87"/>
    </row>
    <row r="20" spans="1:10" ht="30">
      <c r="A20" s="230" t="s">
        <v>251</v>
      </c>
      <c r="B20" s="234" t="s">
        <v>252</v>
      </c>
      <c r="C20" s="164" t="s">
        <v>26</v>
      </c>
      <c r="D20" s="231">
        <v>48</v>
      </c>
      <c r="E20" s="105" t="s">
        <v>4</v>
      </c>
      <c r="F20" s="24">
        <f t="shared" si="0"/>
        <v>4</v>
      </c>
      <c r="G20" s="23" t="s">
        <v>5</v>
      </c>
      <c r="H20" s="87"/>
    </row>
    <row r="21" spans="1:10" ht="15.75" thickBot="1">
      <c r="A21" s="276" t="s">
        <v>120</v>
      </c>
      <c r="B21" s="277">
        <v>0.7</v>
      </c>
      <c r="C21" s="278"/>
      <c r="D21" s="278"/>
      <c r="E21" s="279"/>
      <c r="F21" s="280"/>
      <c r="G21" s="279"/>
      <c r="H21" s="281"/>
    </row>
    <row r="22" spans="1:10" ht="15.75" thickBot="1">
      <c r="F22" s="36"/>
    </row>
    <row r="23" spans="1:10">
      <c r="A23" s="241"/>
      <c r="B23" s="242"/>
      <c r="C23" s="242"/>
      <c r="D23" s="242"/>
      <c r="E23" s="243"/>
      <c r="F23" s="36"/>
    </row>
    <row r="24" spans="1:10" ht="49.5" customHeight="1">
      <c r="A24" s="298" t="s">
        <v>220</v>
      </c>
      <c r="B24" s="299"/>
      <c r="C24" s="244"/>
      <c r="D24" s="245">
        <f>D7</f>
        <v>48</v>
      </c>
      <c r="E24" s="246" t="s">
        <v>4</v>
      </c>
      <c r="F24" s="36"/>
    </row>
    <row r="25" spans="1:10">
      <c r="A25" s="247" t="s">
        <v>253</v>
      </c>
      <c r="B25" s="69" t="s">
        <v>253</v>
      </c>
      <c r="C25" s="161" t="s">
        <v>54</v>
      </c>
      <c r="D25" s="70">
        <f>'Box - Lower Orifice'!B46</f>
        <v>0.5514940967505978</v>
      </c>
      <c r="E25" s="86" t="s">
        <v>55</v>
      </c>
      <c r="F25" s="36"/>
    </row>
    <row r="26" spans="1:10">
      <c r="A26" s="247"/>
      <c r="B26" s="69"/>
      <c r="C26" s="161"/>
      <c r="D26" s="70">
        <f>D25*7.48*60</f>
        <v>247.51055062166833</v>
      </c>
      <c r="E26" s="86" t="s">
        <v>56</v>
      </c>
      <c r="F26" s="36"/>
    </row>
    <row r="27" spans="1:10">
      <c r="A27" s="247" t="s">
        <v>254</v>
      </c>
      <c r="B27" s="69" t="s">
        <v>255</v>
      </c>
      <c r="C27" s="161" t="s">
        <v>58</v>
      </c>
      <c r="D27" s="70">
        <f>'Box - Lower Orifice'!B47</f>
        <v>11.234945482733774</v>
      </c>
      <c r="E27" s="86" t="s">
        <v>59</v>
      </c>
      <c r="F27" s="36"/>
      <c r="J27" s="11"/>
    </row>
    <row r="28" spans="1:10">
      <c r="A28" s="247"/>
      <c r="B28" s="69"/>
      <c r="C28" s="161"/>
      <c r="D28" s="70"/>
      <c r="E28" s="86"/>
      <c r="F28" s="36"/>
    </row>
    <row r="29" spans="1:10">
      <c r="A29" s="247" t="s">
        <v>256</v>
      </c>
      <c r="B29" s="69" t="s">
        <v>256</v>
      </c>
      <c r="C29" s="161" t="s">
        <v>54</v>
      </c>
      <c r="D29" s="70">
        <f>'Box - Upper Orifice'!B46</f>
        <v>0</v>
      </c>
      <c r="E29" s="86" t="s">
        <v>55</v>
      </c>
      <c r="F29" s="36"/>
    </row>
    <row r="30" spans="1:10" hidden="1">
      <c r="A30" s="247"/>
      <c r="B30" s="69"/>
      <c r="C30" s="161"/>
      <c r="D30" s="70">
        <f>D29*7.48*60</f>
        <v>0</v>
      </c>
      <c r="E30" s="86" t="s">
        <v>56</v>
      </c>
      <c r="F30" s="36"/>
    </row>
    <row r="31" spans="1:10" hidden="1">
      <c r="A31" s="247"/>
      <c r="B31" s="69" t="s">
        <v>151</v>
      </c>
      <c r="C31" s="161"/>
      <c r="D31" s="168">
        <f>((D30*4)/PI())^0.5*12</f>
        <v>0</v>
      </c>
      <c r="E31" s="86" t="s">
        <v>4</v>
      </c>
      <c r="F31" s="36"/>
    </row>
    <row r="32" spans="1:10" hidden="1">
      <c r="A32" s="247"/>
      <c r="B32" s="69"/>
      <c r="C32" s="161"/>
      <c r="D32" s="168"/>
      <c r="E32" s="86"/>
      <c r="F32" s="36"/>
    </row>
    <row r="33" spans="1:11" hidden="1">
      <c r="A33" s="247" t="s">
        <v>257</v>
      </c>
      <c r="B33" s="69" t="s">
        <v>119</v>
      </c>
      <c r="C33" s="161" t="s">
        <v>33</v>
      </c>
      <c r="D33" s="168">
        <f>'Box - Lower Orifice'!B49</f>
        <v>4.9087385212340517E-2</v>
      </c>
      <c r="E33" s="86" t="s">
        <v>32</v>
      </c>
      <c r="F33" s="36"/>
    </row>
    <row r="34" spans="1:11" hidden="1">
      <c r="A34" s="247"/>
      <c r="B34" s="69"/>
      <c r="C34" s="161"/>
      <c r="D34" s="168"/>
      <c r="E34" s="86"/>
      <c r="F34" s="36"/>
    </row>
    <row r="35" spans="1:11" hidden="1">
      <c r="A35" s="247" t="s">
        <v>258</v>
      </c>
      <c r="B35" s="69"/>
      <c r="C35" s="161"/>
      <c r="D35" s="168">
        <f>'Box - Lower Orifice'!S28</f>
        <v>2.9999428845962566</v>
      </c>
      <c r="E35" s="86" t="s">
        <v>4</v>
      </c>
      <c r="F35" s="36"/>
    </row>
    <row r="36" spans="1:11" hidden="1">
      <c r="A36" s="247" t="s">
        <v>259</v>
      </c>
      <c r="B36" s="69"/>
      <c r="C36" s="161" t="s">
        <v>26</v>
      </c>
      <c r="D36" s="168">
        <f>'Box - Lower Orifice'!S9</f>
        <v>2.2567583341910256</v>
      </c>
      <c r="E36" s="86" t="s">
        <v>37</v>
      </c>
      <c r="F36" s="36"/>
    </row>
    <row r="37" spans="1:11" hidden="1">
      <c r="A37" s="247"/>
      <c r="B37" s="69"/>
      <c r="C37" s="161"/>
      <c r="D37" s="248">
        <f>D36*12</f>
        <v>27.081100010292307</v>
      </c>
      <c r="E37" s="86" t="s">
        <v>4</v>
      </c>
      <c r="F37" s="36"/>
    </row>
    <row r="38" spans="1:11">
      <c r="A38" s="247"/>
      <c r="B38" s="69"/>
      <c r="C38" s="161"/>
      <c r="D38" s="70">
        <f>D29*7.48*60</f>
        <v>0</v>
      </c>
      <c r="E38" s="86" t="s">
        <v>56</v>
      </c>
      <c r="F38" s="48"/>
      <c r="G38" s="46"/>
      <c r="J38" s="50"/>
      <c r="K38" s="44"/>
    </row>
    <row r="39" spans="1:11" hidden="1">
      <c r="A39" s="249" t="s">
        <v>69</v>
      </c>
      <c r="B39" s="250"/>
      <c r="C39" s="251"/>
      <c r="D39" s="250"/>
      <c r="E39" s="252"/>
      <c r="F39" s="36"/>
    </row>
    <row r="40" spans="1:11" hidden="1">
      <c r="A40" s="253" t="s">
        <v>152</v>
      </c>
      <c r="B40" s="254" t="s">
        <v>84</v>
      </c>
      <c r="C40" s="255"/>
      <c r="D40" s="133">
        <f>IF('Box - Static Force'!B11&lt;0,0,'Box - Static Force'!B11)</f>
        <v>131.50706847926872</v>
      </c>
      <c r="E40" s="134" t="s">
        <v>82</v>
      </c>
      <c r="F40" s="36"/>
    </row>
    <row r="41" spans="1:11" ht="30" hidden="1">
      <c r="A41" s="253" t="s">
        <v>260</v>
      </c>
      <c r="B41" s="254" t="s">
        <v>83</v>
      </c>
      <c r="C41" s="255"/>
      <c r="D41" s="133">
        <f>'Box - Static Force'!B13</f>
        <v>0</v>
      </c>
      <c r="E41" s="134" t="s">
        <v>82</v>
      </c>
      <c r="F41" s="36"/>
    </row>
    <row r="42" spans="1:11" hidden="1">
      <c r="A42" s="253" t="s">
        <v>261</v>
      </c>
      <c r="B42" s="88" t="s">
        <v>85</v>
      </c>
      <c r="C42" s="138"/>
      <c r="D42" s="254" t="str">
        <f>IF(D40&gt;D41,"Open","Closed")</f>
        <v>Open</v>
      </c>
      <c r="E42" s="134"/>
      <c r="F42" s="36"/>
    </row>
    <row r="43" spans="1:11" ht="30" hidden="1">
      <c r="A43" s="253" t="s">
        <v>262</v>
      </c>
      <c r="B43" s="254" t="s">
        <v>90</v>
      </c>
      <c r="C43" s="256"/>
      <c r="D43" s="135">
        <f>IF(D40&lt;D41,"None",D40-D41)</f>
        <v>131.50706847926872</v>
      </c>
      <c r="E43" s="134" t="s">
        <v>82</v>
      </c>
      <c r="F43" s="36"/>
    </row>
    <row r="44" spans="1:11" hidden="1">
      <c r="A44" s="253"/>
      <c r="B44" s="254"/>
      <c r="C44" s="256"/>
      <c r="D44" s="135"/>
      <c r="E44" s="134"/>
      <c r="F44" s="36"/>
    </row>
    <row r="45" spans="1:11" hidden="1">
      <c r="A45" s="253" t="s">
        <v>153</v>
      </c>
      <c r="B45" s="254" t="s">
        <v>107</v>
      </c>
      <c r="C45" s="256"/>
      <c r="D45" s="135" t="str">
        <f>IFERROR(IF(D40&gt;D41,'Box - Angle of Opening'!C18,0),"Fully Open")</f>
        <v>Fully Open</v>
      </c>
      <c r="E45" s="134" t="s">
        <v>9</v>
      </c>
      <c r="F45" s="36"/>
    </row>
    <row r="46" spans="1:11" hidden="1">
      <c r="A46" s="253"/>
      <c r="B46" s="254"/>
      <c r="C46" s="256"/>
      <c r="D46" s="135"/>
      <c r="E46" s="134"/>
      <c r="F46" s="36"/>
    </row>
    <row r="47" spans="1:11" ht="30">
      <c r="A47" s="247" t="s">
        <v>263</v>
      </c>
      <c r="B47" s="257" t="s">
        <v>278</v>
      </c>
      <c r="C47" s="161" t="s">
        <v>54</v>
      </c>
      <c r="D47" s="70">
        <f>D25+D29</f>
        <v>0.5514940967505978</v>
      </c>
      <c r="E47" s="86" t="s">
        <v>55</v>
      </c>
    </row>
    <row r="48" spans="1:11" s="64" customFormat="1" ht="15.75" thickBot="1">
      <c r="A48" s="258"/>
      <c r="B48" s="259"/>
      <c r="C48" s="260"/>
      <c r="D48" s="261">
        <f>D26+D38</f>
        <v>247.51055062166833</v>
      </c>
      <c r="E48" s="262" t="s">
        <v>56</v>
      </c>
      <c r="F48" s="60"/>
      <c r="G48" s="61"/>
      <c r="H48" s="62"/>
      <c r="I48" s="63"/>
    </row>
    <row r="49" spans="1:11">
      <c r="A49" s="53"/>
      <c r="B49" s="141"/>
      <c r="C49" s="141"/>
      <c r="D49" s="141"/>
      <c r="E49" s="48"/>
      <c r="F49" s="48"/>
      <c r="G49" s="46"/>
      <c r="J49" s="50"/>
      <c r="K49" s="44"/>
    </row>
    <row r="50" spans="1:11" ht="23.25">
      <c r="A50" s="121" t="s">
        <v>222</v>
      </c>
      <c r="B50"/>
      <c r="C50"/>
      <c r="D50"/>
      <c r="G50" s="46"/>
      <c r="I50" s="51"/>
      <c r="J50" s="44"/>
      <c r="K50" s="44"/>
    </row>
    <row r="51" spans="1:11" ht="38.1" customHeight="1">
      <c r="A51" s="289" t="s">
        <v>267</v>
      </c>
      <c r="B51" s="289"/>
      <c r="C51" s="289"/>
      <c r="D51" s="289"/>
      <c r="E51" s="289"/>
      <c r="G51" s="46"/>
      <c r="J51" s="44"/>
      <c r="K51" s="44"/>
    </row>
    <row r="52" spans="1:11">
      <c r="A52" s="53"/>
      <c r="B52" s="141"/>
      <c r="C52" s="141"/>
      <c r="D52" s="141"/>
      <c r="E52" s="48"/>
      <c r="G52" s="46"/>
    </row>
    <row r="53" spans="1:11" ht="75">
      <c r="A53" s="182" t="s">
        <v>268</v>
      </c>
      <c r="B53" s="182" t="s">
        <v>269</v>
      </c>
      <c r="C53" s="182" t="s">
        <v>270</v>
      </c>
      <c r="D53" s="182" t="s">
        <v>279</v>
      </c>
      <c r="E53" s="182" t="s">
        <v>271</v>
      </c>
    </row>
    <row r="54" spans="1:11">
      <c r="A54" s="265">
        <f>'Data Tab Box - Input and Output'!A57</f>
        <v>1</v>
      </c>
      <c r="B54" s="266">
        <f>'Data Tab Box - Input and Output'!B57</f>
        <v>2.5103931764327223E-2</v>
      </c>
      <c r="C54" s="266">
        <f>'Data Tab Box - Input and Output'!C57</f>
        <v>1.7526667621500327</v>
      </c>
      <c r="D54" s="266">
        <f>'Data Tab Box - Input and Output'!D57</f>
        <v>0</v>
      </c>
      <c r="E54" s="266">
        <f>'Data Tab Box - Input and Output'!E57</f>
        <v>2.5103931764327223E-2</v>
      </c>
    </row>
    <row r="55" spans="1:11">
      <c r="A55" s="265">
        <f>'Data Tab Box - Input and Output'!A58</f>
        <v>2</v>
      </c>
      <c r="B55" s="266">
        <f>'Data Tab Box - Input and Output'!B58</f>
        <v>8.2085637927227312E-2</v>
      </c>
      <c r="C55" s="266">
        <f>'Data Tab Box - Input and Output'!C58</f>
        <v>2.3612180053924487</v>
      </c>
      <c r="D55" s="266">
        <f>'Data Tab Box - Input and Output'!D58</f>
        <v>0</v>
      </c>
      <c r="E55" s="266">
        <f>'Data Tab Box - Input and Output'!E58</f>
        <v>8.2085637927227312E-2</v>
      </c>
    </row>
    <row r="56" spans="1:11">
      <c r="A56" s="265">
        <f>'Data Tab Box - Input and Output'!A59</f>
        <v>3</v>
      </c>
      <c r="B56" s="266">
        <f>'Data Tab Box - Input and Output'!B59</f>
        <v>0.10471691201233634</v>
      </c>
      <c r="C56" s="266">
        <f>'Data Tab Box - Input and Output'!C59</f>
        <v>2.8087363706834436</v>
      </c>
      <c r="D56" s="266">
        <f>'Data Tab Box - Input and Output'!D59</f>
        <v>0</v>
      </c>
      <c r="E56" s="266">
        <f>'Data Tab Box - Input and Output'!E59</f>
        <v>0.10471691201233634</v>
      </c>
    </row>
    <row r="57" spans="1:11">
      <c r="A57" s="265">
        <f>'Data Tab Box - Input and Output'!A60</f>
        <v>4</v>
      </c>
      <c r="B57" s="266">
        <f>'Data Tab Box - Input and Output'!B60</f>
        <v>0.15920263260772355</v>
      </c>
      <c r="C57" s="266">
        <f>'Data Tab Box - Input and Output'!C60</f>
        <v>3.2432493993935569</v>
      </c>
      <c r="D57" s="266">
        <f>'Data Tab Box - Input and Output'!D60</f>
        <v>0</v>
      </c>
      <c r="E57" s="266">
        <f>'Data Tab Box - Input and Output'!E60</f>
        <v>0.15920263260772355</v>
      </c>
    </row>
    <row r="58" spans="1:11">
      <c r="A58" s="265">
        <f>'Data Tab Box - Input and Output'!A61</f>
        <v>5</v>
      </c>
      <c r="B58" s="266">
        <f>'Data Tab Box - Input and Output'!B61</f>
        <v>0.17799395435389723</v>
      </c>
      <c r="C58" s="266">
        <f>'Data Tab Box - Input and Output'!C61</f>
        <v>3.626063062514679</v>
      </c>
      <c r="D58" s="266">
        <f>'Data Tab Box - Input and Output'!D61</f>
        <v>0</v>
      </c>
      <c r="E58" s="266">
        <f>'Data Tab Box - Input and Output'!E61</f>
        <v>0.17799395435389723</v>
      </c>
    </row>
    <row r="59" spans="1:11">
      <c r="A59" s="265">
        <f>'Data Tab Box - Input and Output'!A62</f>
        <v>6</v>
      </c>
      <c r="B59" s="266">
        <f>'Data Tab Box - Input and Output'!B62</f>
        <v>0.19498260779834878</v>
      </c>
      <c r="C59" s="266">
        <f>'Data Tab Box - Input and Output'!C62</f>
        <v>3.9721530685511102</v>
      </c>
      <c r="D59" s="266">
        <f>'Data Tab Box - Input and Output'!D62</f>
        <v>0</v>
      </c>
      <c r="E59" s="266">
        <f>'Data Tab Box - Input and Output'!E62</f>
        <v>0.19498260779834878</v>
      </c>
    </row>
    <row r="60" spans="1:11">
      <c r="A60" s="265">
        <f>'Data Tab Box - Input and Output'!A63</f>
        <v>7</v>
      </c>
      <c r="B60" s="266">
        <f>'Data Tab Box - Input and Output'!B63</f>
        <v>0.21060528697340947</v>
      </c>
      <c r="C60" s="266">
        <f>'Data Tab Box - Input and Output'!C63</f>
        <v>4.2904156752774751</v>
      </c>
      <c r="D60" s="266">
        <f>'Data Tab Box - Input and Output'!D63</f>
        <v>0</v>
      </c>
      <c r="E60" s="266">
        <f>'Data Tab Box - Input and Output'!E63</f>
        <v>0.21060528697340947</v>
      </c>
    </row>
    <row r="61" spans="1:11">
      <c r="A61" s="265">
        <f>'Data Tab Box - Input and Output'!A64</f>
        <v>8</v>
      </c>
      <c r="B61" s="266">
        <f>'Data Tab Box - Input and Output'!B64</f>
        <v>0.22514652219934378</v>
      </c>
      <c r="C61" s="266">
        <f>'Data Tab Box - Input and Output'!C64</f>
        <v>4.5866472867807628</v>
      </c>
      <c r="D61" s="266">
        <f>'Data Tab Box - Input and Output'!D64</f>
        <v>0</v>
      </c>
      <c r="E61" s="266">
        <f>'Data Tab Box - Input and Output'!E64</f>
        <v>0.22514652219934378</v>
      </c>
    </row>
    <row r="62" spans="1:11">
      <c r="A62" s="265">
        <f>'Data Tab Box - Input and Output'!A65</f>
        <v>9</v>
      </c>
      <c r="B62" s="266">
        <f>'Data Tab Box - Input and Output'!B65</f>
        <v>0.23880394891158532</v>
      </c>
      <c r="C62" s="266">
        <f>'Data Tab Box - Input and Output'!C65</f>
        <v>4.8648740990903354</v>
      </c>
      <c r="D62" s="266">
        <f>'Data Tab Box - Input and Output'!D65</f>
        <v>0</v>
      </c>
      <c r="E62" s="266">
        <f>'Data Tab Box - Input and Output'!E65</f>
        <v>0.23880394891158532</v>
      </c>
    </row>
    <row r="63" spans="1:11">
      <c r="A63" s="265">
        <f>'Data Tab Box - Input and Output'!A66</f>
        <v>10</v>
      </c>
      <c r="B63" s="266">
        <f>'Data Tab Box - Input and Output'!B66</f>
        <v>0.25172146426769909</v>
      </c>
      <c r="C63" s="266">
        <f>'Data Tab Box - Input and Output'!C66</f>
        <v>5.1280275610283796</v>
      </c>
      <c r="D63" s="266">
        <f>'Data Tab Box - Input and Output'!D66</f>
        <v>0</v>
      </c>
      <c r="E63" s="266">
        <f>'Data Tab Box - Input and Output'!E66</f>
        <v>0.25172146426769909</v>
      </c>
    </row>
    <row r="64" spans="1:11">
      <c r="A64" s="265">
        <f>'Data Tab Box - Input and Output'!A67</f>
        <v>11</v>
      </c>
      <c r="B64" s="266">
        <f>'Data Tab Box - Input and Output'!B67</f>
        <v>0.26400769899830945</v>
      </c>
      <c r="C64" s="266">
        <f>'Data Tab Box - Input and Output'!C67</f>
        <v>5.3783206796669667</v>
      </c>
      <c r="D64" s="266">
        <f>'Data Tab Box - Input and Output'!D67</f>
        <v>0</v>
      </c>
      <c r="E64" s="266">
        <f>'Data Tab Box - Input and Output'!E67</f>
        <v>0.26400769899830945</v>
      </c>
    </row>
    <row r="65" spans="1:5">
      <c r="A65" s="265">
        <f>'Data Tab Box - Input and Output'!A68</f>
        <v>12</v>
      </c>
      <c r="B65" s="266">
        <f>'Data Tab Box - Input and Output'!B68</f>
        <v>0.2757470483752989</v>
      </c>
      <c r="C65" s="266">
        <f>'Data Tab Box - Input and Output'!C68</f>
        <v>5.6174727413668872</v>
      </c>
      <c r="D65" s="266">
        <f>'Data Tab Box - Input and Output'!D68</f>
        <v>0</v>
      </c>
      <c r="E65" s="266">
        <f>'Data Tab Box - Input and Output'!E68</f>
        <v>0.2757470483752989</v>
      </c>
    </row>
    <row r="66" spans="1:5">
      <c r="A66" s="265">
        <f>'Data Tab Box - Input and Output'!A69</f>
        <v>13</v>
      </c>
      <c r="B66" s="266">
        <f>'Data Tab Box - Input and Output'!B69</f>
        <v>0.28700662752800121</v>
      </c>
      <c r="C66" s="266">
        <f>'Data Tab Box - Input and Output'!C69</f>
        <v>5.846851004315627</v>
      </c>
      <c r="D66" s="266">
        <f>'Data Tab Box - Input and Output'!D69</f>
        <v>0</v>
      </c>
      <c r="E66" s="266">
        <f>'Data Tab Box - Input and Output'!E69</f>
        <v>0.28700662752800121</v>
      </c>
    </row>
    <row r="67" spans="1:5">
      <c r="A67" s="265">
        <f>'Data Tab Box - Input and Output'!A70</f>
        <v>14</v>
      </c>
      <c r="B67" s="266">
        <f>'Data Tab Box - Input and Output'!B70</f>
        <v>0.29784085314527337</v>
      </c>
      <c r="C67" s="266">
        <f>'Data Tab Box - Input and Output'!C70</f>
        <v>6.0675640361955248</v>
      </c>
      <c r="D67" s="266">
        <f>'Data Tab Box - Input and Output'!D70</f>
        <v>0</v>
      </c>
      <c r="E67" s="266">
        <f>'Data Tab Box - Input and Output'!E70</f>
        <v>0.29784085314527337</v>
      </c>
    </row>
    <row r="68" spans="1:5">
      <c r="A68" s="265">
        <f>'Data Tab Box - Input and Output'!A71</f>
        <v>15</v>
      </c>
      <c r="B68" s="266">
        <f>'Data Tab Box - Input and Output'!B71</f>
        <v>0.30829457238104557</v>
      </c>
      <c r="C68" s="266">
        <f>'Data Tab Box - Input and Output'!C71</f>
        <v>6.2805254557242263</v>
      </c>
      <c r="D68" s="266">
        <f>'Data Tab Box - Input and Output'!D71</f>
        <v>0</v>
      </c>
      <c r="E68" s="266">
        <f>'Data Tab Box - Input and Output'!E71</f>
        <v>0.30829457238104557</v>
      </c>
    </row>
    <row r="69" spans="1:5">
      <c r="A69" s="265">
        <f>'Data Tab Box - Input and Output'!A72</f>
        <v>16</v>
      </c>
      <c r="B69" s="266">
        <f>'Data Tab Box - Input and Output'!B72</f>
        <v>0.3184052652154471</v>
      </c>
      <c r="C69" s="266">
        <f>'Data Tab Box - Input and Output'!C72</f>
        <v>6.4864987987871139</v>
      </c>
      <c r="D69" s="266">
        <f>'Data Tab Box - Input and Output'!D72</f>
        <v>0</v>
      </c>
      <c r="E69" s="266">
        <f>'Data Tab Box - Input and Output'!E72</f>
        <v>0.3184052652154471</v>
      </c>
    </row>
    <row r="70" spans="1:5">
      <c r="A70" s="265">
        <f>'Data Tab Box - Input and Output'!A73</f>
        <v>17</v>
      </c>
      <c r="B70" s="266">
        <f>'Data Tab Box - Input and Output'!B73</f>
        <v>0.32820463505902331</v>
      </c>
      <c r="C70" s="266">
        <f>'Data Tab Box - Input and Output'!C73</f>
        <v>6.6861299219603367</v>
      </c>
      <c r="D70" s="266">
        <f>'Data Tab Box - Input and Output'!D73</f>
        <v>0</v>
      </c>
      <c r="E70" s="266">
        <f>'Data Tab Box - Input and Output'!E73</f>
        <v>0.32820463505902331</v>
      </c>
    </row>
    <row r="71" spans="1:5">
      <c r="A71" s="265">
        <f>'Data Tab Box - Input and Output'!A74</f>
        <v>18</v>
      </c>
      <c r="B71" s="266">
        <f>'Data Tab Box - Input and Output'!B74</f>
        <v>0.33771978329901564</v>
      </c>
      <c r="C71" s="266">
        <f>'Data Tab Box - Input and Output'!C74</f>
        <v>6.8799709301711438</v>
      </c>
      <c r="D71" s="266">
        <f>'Data Tab Box - Input and Output'!D74</f>
        <v>0</v>
      </c>
      <c r="E71" s="266">
        <f>'Data Tab Box - Input and Output'!E74</f>
        <v>0.33771978329901564</v>
      </c>
    </row>
    <row r="72" spans="1:5">
      <c r="A72" s="265">
        <f>'Data Tab Box - Input and Output'!A75</f>
        <v>19</v>
      </c>
      <c r="B72" s="266">
        <f>'Data Tab Box - Input and Output'!B75</f>
        <v>0.34697409354135006</v>
      </c>
      <c r="C72" s="266">
        <f>'Data Tab Box - Input and Output'!C75</f>
        <v>7.0684981903277491</v>
      </c>
      <c r="D72" s="266">
        <f>'Data Tab Box - Input and Output'!D75</f>
        <v>0</v>
      </c>
      <c r="E72" s="266">
        <f>'Data Tab Box - Input and Output'!E75</f>
        <v>0.34697409354135006</v>
      </c>
    </row>
    <row r="73" spans="1:5">
      <c r="A73" s="265">
        <f>'Data Tab Box - Input and Output'!A76</f>
        <v>20</v>
      </c>
      <c r="B73" s="266">
        <f>'Data Tab Box - Input and Output'!B76</f>
        <v>0.35598790870779445</v>
      </c>
      <c r="C73" s="266">
        <f>'Data Tab Box - Input and Output'!C76</f>
        <v>7.2521261250293581</v>
      </c>
      <c r="D73" s="266">
        <f>'Data Tab Box - Input and Output'!D76</f>
        <v>0</v>
      </c>
      <c r="E73" s="266">
        <f>'Data Tab Box - Input and Output'!E76</f>
        <v>0.35598790870779445</v>
      </c>
    </row>
    <row r="74" spans="1:5">
      <c r="A74" s="265">
        <f>'Data Tab Box - Input and Output'!A77</f>
        <v>21</v>
      </c>
      <c r="B74" s="266">
        <f>'Data Tab Box - Input and Output'!B77</f>
        <v>0.36477905738056904</v>
      </c>
      <c r="C74" s="266">
        <f>'Data Tab Box - Input and Output'!C77</f>
        <v>7.4312179351705208</v>
      </c>
      <c r="D74" s="266">
        <f>'Data Tab Box - Input and Output'!D77</f>
        <v>0</v>
      </c>
      <c r="E74" s="266">
        <f>'Data Tab Box - Input and Output'!E77</f>
        <v>0.36477905738056904</v>
      </c>
    </row>
    <row r="75" spans="1:5">
      <c r="A75" s="265">
        <f>'Data Tab Box - Input and Output'!A78</f>
        <v>22</v>
      </c>
      <c r="B75" s="266">
        <f>'Data Tab Box - Input and Output'!B78</f>
        <v>0.373363268494323</v>
      </c>
      <c r="C75" s="266">
        <f>'Data Tab Box - Input and Output'!C78</f>
        <v>7.6060940479767059</v>
      </c>
      <c r="D75" s="266">
        <f>'Data Tab Box - Input and Output'!D78</f>
        <v>0</v>
      </c>
      <c r="E75" s="266">
        <f>'Data Tab Box - Input and Output'!E78</f>
        <v>0.373363268494323</v>
      </c>
    </row>
    <row r="76" spans="1:5">
      <c r="A76" s="265">
        <f>'Data Tab Box - Input and Output'!A79</f>
        <v>23</v>
      </c>
      <c r="B76" s="266">
        <f>'Data Tab Box - Input and Output'!B79</f>
        <v>0.38175450202724703</v>
      </c>
      <c r="C76" s="266">
        <f>'Data Tab Box - Input and Output'!C79</f>
        <v>7.7770388537883326</v>
      </c>
      <c r="D76" s="266">
        <f>'Data Tab Box - Input and Output'!D79</f>
        <v>0</v>
      </c>
      <c r="E76" s="266">
        <f>'Data Tab Box - Input and Output'!E79</f>
        <v>0.38175450202724703</v>
      </c>
    </row>
    <row r="77" spans="1:5">
      <c r="A77" s="265">
        <f>'Data Tab Box - Input and Output'!A80</f>
        <v>24</v>
      </c>
      <c r="B77" s="266">
        <f>'Data Tab Box - Input and Output'!B80</f>
        <v>0.38996521559669756</v>
      </c>
      <c r="C77" s="266">
        <f>'Data Tab Box - Input and Output'!C80</f>
        <v>7.9443061371022203</v>
      </c>
      <c r="D77" s="266">
        <f>'Data Tab Box - Input and Output'!D80</f>
        <v>0</v>
      </c>
      <c r="E77" s="266">
        <f>'Data Tab Box - Input and Output'!E80</f>
        <v>0.38996521559669756</v>
      </c>
    </row>
    <row r="78" spans="1:5">
      <c r="A78" s="265">
        <f>'Data Tab Box - Input and Output'!A81</f>
        <v>25</v>
      </c>
      <c r="B78" s="266">
        <f>'Data Tab Box - Input and Output'!B81</f>
        <v>0.39800658151930884</v>
      </c>
      <c r="C78" s="266">
        <f>'Data Tab Box - Input and Output'!C81</f>
        <v>8.1081234984838915</v>
      </c>
      <c r="D78" s="266">
        <f>'Data Tab Box - Input and Output'!D81</f>
        <v>0</v>
      </c>
      <c r="E78" s="266">
        <f>'Data Tab Box - Input and Output'!E81</f>
        <v>0.39800658151930884</v>
      </c>
    </row>
    <row r="79" spans="1:5">
      <c r="A79" s="265">
        <f>'Data Tab Box - Input and Output'!A82</f>
        <v>26</v>
      </c>
      <c r="B79" s="266">
        <f>'Data Tab Box - Input and Output'!B82</f>
        <v>0.40588866514106264</v>
      </c>
      <c r="C79" s="266">
        <f>'Data Tab Box - Input and Output'!C82</f>
        <v>8.268695987477912</v>
      </c>
      <c r="D79" s="266">
        <f>'Data Tab Box - Input and Output'!D82</f>
        <v>0</v>
      </c>
      <c r="E79" s="266">
        <f>'Data Tab Box - Input and Output'!E82</f>
        <v>0.40588866514106264</v>
      </c>
    </row>
    <row r="80" spans="1:5">
      <c r="A80" s="265">
        <f>'Data Tab Box - Input and Output'!A83</f>
        <v>27</v>
      </c>
      <c r="B80" s="266">
        <f>'Data Tab Box - Input and Output'!B83</f>
        <v>0.41362057256294826</v>
      </c>
      <c r="C80" s="266">
        <f>'Data Tab Box - Input and Output'!C83</f>
        <v>8.42620911205033</v>
      </c>
      <c r="D80" s="266">
        <f>'Data Tab Box - Input and Output'!D83</f>
        <v>0</v>
      </c>
      <c r="E80" s="266">
        <f>'Data Tab Box - Input and Output'!E83</f>
        <v>0.41362057256294826</v>
      </c>
    </row>
    <row r="81" spans="1:5">
      <c r="A81" s="265">
        <f>'Data Tab Box - Input and Output'!A84</f>
        <v>28</v>
      </c>
      <c r="B81" s="266">
        <f>'Data Tab Box - Input and Output'!B84</f>
        <v>0.42121057394681893</v>
      </c>
      <c r="C81" s="266">
        <f>'Data Tab Box - Input and Output'!C84</f>
        <v>8.5808313505549503</v>
      </c>
      <c r="D81" s="266">
        <f>'Data Tab Box - Input and Output'!D84</f>
        <v>0</v>
      </c>
      <c r="E81" s="266">
        <f>'Data Tab Box - Input and Output'!E84</f>
        <v>0.42121057394681893</v>
      </c>
    </row>
    <row r="82" spans="1:5">
      <c r="A82" s="265">
        <f>'Data Tab Box - Input and Output'!A85</f>
        <v>29</v>
      </c>
      <c r="B82" s="266">
        <f>'Data Tab Box - Input and Output'!B85</f>
        <v>0.4286662071611384</v>
      </c>
      <c r="C82" s="266">
        <f>'Data Tab Box - Input and Output'!C85</f>
        <v>8.7327162631871484</v>
      </c>
      <c r="D82" s="266">
        <f>'Data Tab Box - Input and Output'!D85</f>
        <v>0</v>
      </c>
      <c r="E82" s="266">
        <f>'Data Tab Box - Input and Output'!E85</f>
        <v>0.4286662071611384</v>
      </c>
    </row>
    <row r="83" spans="1:5">
      <c r="A83" s="265">
        <f>'Data Tab Box - Input and Output'!A86</f>
        <v>30</v>
      </c>
      <c r="B83" s="266">
        <f>'Data Tab Box - Input and Output'!B86</f>
        <v>0.43599436546728848</v>
      </c>
      <c r="C83" s="266">
        <f>'Data Tab Box - Input and Output'!C86</f>
        <v>8.882004278314664</v>
      </c>
      <c r="D83" s="266">
        <f>'Data Tab Box - Input and Output'!D86</f>
        <v>0</v>
      </c>
      <c r="E83" s="266">
        <f>'Data Tab Box - Input and Output'!E86</f>
        <v>0.43599436546728848</v>
      </c>
    </row>
    <row r="84" spans="1:5">
      <c r="A84" s="265">
        <f>'Data Tab Box - Input and Output'!A87</f>
        <v>31</v>
      </c>
      <c r="B84" s="266">
        <f>'Data Tab Box - Input and Output'!B87</f>
        <v>0.44320137215100203</v>
      </c>
      <c r="C84" s="266">
        <f>'Data Tab Box - Input and Output'!C87</f>
        <v>9.0288242128566605</v>
      </c>
      <c r="D84" s="266">
        <f>'Data Tab Box - Input and Output'!D87</f>
        <v>0</v>
      </c>
      <c r="E84" s="266">
        <f>'Data Tab Box - Input and Output'!E87</f>
        <v>0.44320137215100203</v>
      </c>
    </row>
    <row r="85" spans="1:5">
      <c r="A85" s="265">
        <f>'Data Tab Box - Input and Output'!A88</f>
        <v>32</v>
      </c>
      <c r="B85" s="266">
        <f>'Data Tab Box - Input and Output'!B88</f>
        <v>0.45029304439868756</v>
      </c>
      <c r="C85" s="266">
        <f>'Data Tab Box - Input and Output'!C88</f>
        <v>9.1732945735615257</v>
      </c>
      <c r="D85" s="266">
        <f>'Data Tab Box - Input and Output'!D88</f>
        <v>0</v>
      </c>
      <c r="E85" s="266">
        <f>'Data Tab Box - Input and Output'!E88</f>
        <v>0.45029304439868756</v>
      </c>
    </row>
    <row r="86" spans="1:5">
      <c r="A86" s="265">
        <f>'Data Tab Box - Input and Output'!A89</f>
        <v>33</v>
      </c>
      <c r="B86" s="266">
        <f>'Data Tab Box - Input and Output'!B89</f>
        <v>0.45727474825442294</v>
      </c>
      <c r="C86" s="266">
        <f>'Data Tab Box - Input and Output'!C89</f>
        <v>9.3155246765815622</v>
      </c>
      <c r="D86" s="266">
        <f>'Data Tab Box - Input and Output'!D89</f>
        <v>0</v>
      </c>
      <c r="E86" s="266">
        <f>'Data Tab Box - Input and Output'!E89</f>
        <v>0.45727474825442294</v>
      </c>
    </row>
    <row r="87" spans="1:5">
      <c r="A87" s="265">
        <f>'Data Tab Box - Input and Output'!A90</f>
        <v>34</v>
      </c>
      <c r="B87" s="266">
        <f>'Data Tab Box - Input and Output'!B90</f>
        <v>0.46415144613418297</v>
      </c>
      <c r="C87" s="266">
        <f>'Data Tab Box - Input and Output'!C90</f>
        <v>9.4556156154248718</v>
      </c>
      <c r="D87" s="266">
        <f>'Data Tab Box - Input and Output'!D90</f>
        <v>0</v>
      </c>
      <c r="E87" s="266">
        <f>'Data Tab Box - Input and Output'!E90</f>
        <v>0.46415144613418297</v>
      </c>
    </row>
    <row r="88" spans="1:5">
      <c r="A88" s="265">
        <f>'Data Tab Box - Input and Output'!A91</f>
        <v>35</v>
      </c>
      <c r="B88" s="266">
        <f>'Data Tab Box - Input and Output'!B91</f>
        <v>0.47092773809339444</v>
      </c>
      <c r="C88" s="266">
        <f>'Data Tab Box - Input and Output'!C91</f>
        <v>9.5936611016510955</v>
      </c>
      <c r="D88" s="266">
        <f>'Data Tab Box - Input and Output'!D91</f>
        <v>0</v>
      </c>
      <c r="E88" s="266">
        <f>'Data Tab Box - Input and Output'!E91</f>
        <v>0.47092773809339444</v>
      </c>
    </row>
    <row r="89" spans="1:5">
      <c r="A89" s="265">
        <f>'Data Tab Box - Input and Output'!A92</f>
        <v>36</v>
      </c>
      <c r="B89" s="266">
        <f>'Data Tab Box - Input and Output'!B92</f>
        <v>0.47760789782317065</v>
      </c>
      <c r="C89" s="266">
        <f>'Data Tab Box - Input and Output'!C92</f>
        <v>9.7297481981806708</v>
      </c>
      <c r="D89" s="266">
        <f>'Data Tab Box - Input and Output'!D92</f>
        <v>0</v>
      </c>
      <c r="E89" s="266">
        <f>'Data Tab Box - Input and Output'!E92</f>
        <v>0.47760789782317065</v>
      </c>
    </row>
    <row r="90" spans="1:5">
      <c r="A90" s="265">
        <f>'Data Tab Box - Input and Output'!A93</f>
        <v>37</v>
      </c>
      <c r="B90" s="266">
        <f>'Data Tab Box - Input and Output'!B93</f>
        <v>0.4841959041755472</v>
      </c>
      <c r="C90" s="266">
        <f>'Data Tab Box - Input and Output'!C93</f>
        <v>9.8639579615216668</v>
      </c>
      <c r="D90" s="266">
        <f>'Data Tab Box - Input and Output'!D93</f>
        <v>0</v>
      </c>
      <c r="E90" s="266">
        <f>'Data Tab Box - Input and Output'!E93</f>
        <v>0.4841959041755472</v>
      </c>
    </row>
    <row r="91" spans="1:5">
      <c r="A91" s="265">
        <f>'Data Tab Box - Input and Output'!A94</f>
        <v>38</v>
      </c>
      <c r="B91" s="266">
        <f>'Data Tab Box - Input and Output'!B94</f>
        <v>0.49069546887828819</v>
      </c>
      <c r="C91" s="266">
        <f>'Data Tab Box - Input and Output'!C94</f>
        <v>9.996366006371181</v>
      </c>
      <c r="D91" s="266">
        <f>'Data Tab Box - Input and Output'!D94</f>
        <v>0</v>
      </c>
      <c r="E91" s="266">
        <f>'Data Tab Box - Input and Output'!E94</f>
        <v>0.49069546887828819</v>
      </c>
    </row>
    <row r="92" spans="1:5">
      <c r="A92" s="265">
        <f>'Data Tab Box - Input and Output'!A95</f>
        <v>39</v>
      </c>
      <c r="B92" s="266">
        <f>'Data Tab Box - Input and Output'!B95</f>
        <v>0.49711006098749455</v>
      </c>
      <c r="C92" s="266">
        <f>'Data Tab Box - Input and Output'!C95</f>
        <v>10.127043003759784</v>
      </c>
      <c r="D92" s="266">
        <f>'Data Tab Box - Input and Output'!D95</f>
        <v>0</v>
      </c>
      <c r="E92" s="266">
        <f>'Data Tab Box - Input and Output'!E95</f>
        <v>0.49711006098749455</v>
      </c>
    </row>
    <row r="93" spans="1:5">
      <c r="A93" s="265">
        <f>'Data Tab Box - Input and Output'!A96</f>
        <v>40</v>
      </c>
      <c r="B93" s="266">
        <f>'Data Tab Box - Input and Output'!B96</f>
        <v>0.50344292853539818</v>
      </c>
      <c r="C93" s="266">
        <f>'Data Tab Box - Input and Output'!C96</f>
        <v>10.256055122056759</v>
      </c>
      <c r="D93" s="266">
        <f>'Data Tab Box - Input and Output'!D96</f>
        <v>0</v>
      </c>
      <c r="E93" s="266">
        <f>'Data Tab Box - Input and Output'!E96</f>
        <v>0.50344292853539818</v>
      </c>
    </row>
    <row r="94" spans="1:5">
      <c r="A94" s="265">
        <f>'Data Tab Box - Input and Output'!A97</f>
        <v>41</v>
      </c>
      <c r="B94" s="266">
        <f>'Data Tab Box - Input and Output'!B97</f>
        <v>0.50969711775681592</v>
      </c>
      <c r="C94" s="266">
        <f>'Data Tab Box - Input and Output'!C97</f>
        <v>10.383464418648208</v>
      </c>
      <c r="D94" s="266">
        <f>'Data Tab Box - Input and Output'!D97</f>
        <v>0</v>
      </c>
      <c r="E94" s="266">
        <f>'Data Tab Box - Input and Output'!E97</f>
        <v>0.50969711775681592</v>
      </c>
    </row>
    <row r="95" spans="1:5">
      <c r="A95" s="265">
        <f>'Data Tab Box - Input and Output'!A98</f>
        <v>42</v>
      </c>
      <c r="B95" s="266">
        <f>'Data Tab Box - Input and Output'!B98</f>
        <v>0.51587549021727419</v>
      </c>
      <c r="C95" s="266">
        <f>'Data Tab Box - Input and Output'!C98</f>
        <v>10.509329188868337</v>
      </c>
      <c r="D95" s="266">
        <f>'Data Tab Box - Input and Output'!D98</f>
        <v>0</v>
      </c>
      <c r="E95" s="266">
        <f>'Data Tab Box - Input and Output'!E98</f>
        <v>0.51587549021727419</v>
      </c>
    </row>
    <row r="96" spans="1:5">
      <c r="A96" s="265">
        <f>'Data Tab Box - Input and Output'!A99</f>
        <v>43</v>
      </c>
      <c r="B96" s="266">
        <f>'Data Tab Box - Input and Output'!B99</f>
        <v>0.52198073811609214</v>
      </c>
      <c r="C96" s="266">
        <f>'Data Tab Box - Input and Output'!C99</f>
        <v>10.633704277751317</v>
      </c>
      <c r="D96" s="266">
        <f>'Data Tab Box - Input and Output'!D99</f>
        <v>0</v>
      </c>
      <c r="E96" s="266">
        <f>'Data Tab Box - Input and Output'!E99</f>
        <v>0.52198073811609214</v>
      </c>
    </row>
    <row r="97" spans="1:5">
      <c r="A97" s="265">
        <f>'Data Tab Box - Input and Output'!A100</f>
        <v>44</v>
      </c>
      <c r="B97" s="266">
        <f>'Data Tab Box - Input and Output'!B100</f>
        <v>0.5280153979966189</v>
      </c>
      <c r="C97" s="266">
        <f>'Data Tab Box - Input and Output'!C100</f>
        <v>10.756641359333933</v>
      </c>
      <c r="D97" s="266">
        <f>'Data Tab Box - Input and Output'!D100</f>
        <v>0</v>
      </c>
      <c r="E97" s="266">
        <f>'Data Tab Box - Input and Output'!E100</f>
        <v>0.5280153979966189</v>
      </c>
    </row>
    <row r="98" spans="1:5">
      <c r="A98" s="265">
        <f>'Data Tab Box - Input and Output'!A101</f>
        <v>45</v>
      </c>
      <c r="B98" s="266">
        <f>'Data Tab Box - Input and Output'!B101</f>
        <v>0.53398186306169171</v>
      </c>
      <c r="C98" s="266">
        <f>'Data Tab Box - Input and Output'!C101</f>
        <v>10.878189187544038</v>
      </c>
      <c r="D98" s="266">
        <f>'Data Tab Box - Input and Output'!D101</f>
        <v>0</v>
      </c>
      <c r="E98" s="266">
        <f>'Data Tab Box - Input and Output'!E101</f>
        <v>0.53398186306169171</v>
      </c>
    </row>
    <row r="99" spans="1:5">
      <c r="A99" s="265">
        <f>'Data Tab Box - Input and Output'!A102</f>
        <v>46</v>
      </c>
      <c r="B99" s="266">
        <f>'Data Tab Box - Input and Output'!B102</f>
        <v>0.53988239426392004</v>
      </c>
      <c r="C99" s="266">
        <f>'Data Tab Box - Input and Output'!C102</f>
        <v>10.998393822129971</v>
      </c>
      <c r="D99" s="266">
        <f>'Data Tab Box - Input and Output'!D102</f>
        <v>0</v>
      </c>
      <c r="E99" s="266">
        <f>'Data Tab Box - Input and Output'!E102</f>
        <v>0.53988239426392004</v>
      </c>
    </row>
    <row r="100" spans="1:5">
      <c r="A100" s="265">
        <f>'Data Tab Box - Input and Output'!A103</f>
        <v>47</v>
      </c>
      <c r="B100" s="266">
        <f>'Data Tab Box - Input and Output'!B103</f>
        <v>0.54571913031654862</v>
      </c>
      <c r="C100" s="266">
        <f>'Data Tab Box - Input and Output'!C103</f>
        <v>11.117298832600181</v>
      </c>
      <c r="D100" s="266">
        <f>'Data Tab Box - Input and Output'!D103</f>
        <v>0</v>
      </c>
      <c r="E100" s="266">
        <f>'Data Tab Box - Input and Output'!E103</f>
        <v>0.54571913031654862</v>
      </c>
    </row>
    <row r="101" spans="1:5">
      <c r="A101" s="265">
        <f>'Data Tab Box - Input and Output'!A104</f>
        <v>48</v>
      </c>
      <c r="B101" s="266">
        <f>'Data Tab Box - Input and Output'!B104</f>
        <v>0.5514940967505978</v>
      </c>
      <c r="C101" s="266">
        <f>'Data Tab Box - Input and Output'!C104</f>
        <v>11.234945482733774</v>
      </c>
      <c r="D101" s="266">
        <f>'Data Tab Box - Input and Output'!D104</f>
        <v>0</v>
      </c>
      <c r="E101" s="266">
        <f>'Data Tab Box - Input and Output'!E104</f>
        <v>0.5514940967505978</v>
      </c>
    </row>
    <row r="102" spans="1:5">
      <c r="A102" s="265">
        <f>'Data Tab Box - Input and Output'!A105</f>
        <v>49</v>
      </c>
      <c r="B102" s="266">
        <f>'Data Tab Box - Input and Output'!B105</f>
        <v>0.5572092141270325</v>
      </c>
      <c r="C102" s="266">
        <f>'Data Tab Box - Input and Output'!C105</f>
        <v>11.35137289787745</v>
      </c>
      <c r="D102" s="266">
        <f>'Data Tab Box - Input and Output'!D105</f>
        <v>7.2631955635843307E-2</v>
      </c>
      <c r="E102" s="266">
        <f>'Data Tab Box - Input and Output'!E105</f>
        <v>0.62984116976287585</v>
      </c>
    </row>
    <row r="103" spans="1:5">
      <c r="A103" s="265">
        <f>'Data Tab Box - Input and Output'!A106</f>
        <v>50</v>
      </c>
      <c r="B103" s="266">
        <f>'Data Tab Box - Input and Output'!B106</f>
        <v>0.56286630549835948</v>
      </c>
      <c r="C103" s="266">
        <f>'Data Tab Box - Input and Output'!C106</f>
        <v>11.466618216951908</v>
      </c>
      <c r="D103" s="266">
        <f>'Data Tab Box - Input and Output'!D106</f>
        <v>0.28676455329435413</v>
      </c>
      <c r="E103" s="266">
        <f>'Data Tab Box - Input and Output'!E106</f>
        <v>0.84963085879271361</v>
      </c>
    </row>
    <row r="104" spans="1:5">
      <c r="A104" s="265">
        <f>'Data Tab Box - Input and Output'!A107</f>
        <v>51</v>
      </c>
      <c r="B104" s="266">
        <f>'Data Tab Box - Input and Output'!B107</f>
        <v>0.56846710320183003</v>
      </c>
      <c r="C104" s="266">
        <f>'Data Tab Box - Input and Output'!C107</f>
        <v>11.580716730841838</v>
      </c>
      <c r="D104" s="266">
        <f>'Data Tab Box - Input and Output'!D107</f>
        <v>0.63661660532760866</v>
      </c>
      <c r="E104" s="266">
        <f>'Data Tab Box - Input and Output'!E107</f>
        <v>1.2050837085294388</v>
      </c>
    </row>
    <row r="105" spans="1:5">
      <c r="A105" s="265">
        <f>'Data Tab Box - Input and Output'!A108</f>
        <v>52</v>
      </c>
      <c r="B105" s="266">
        <f>'Data Tab Box - Input and Output'!B108</f>
        <v>0.57401325505600242</v>
      </c>
      <c r="C105" s="266">
        <f>'Data Tab Box - Input and Output'!C108</f>
        <v>11.693702008631254</v>
      </c>
      <c r="D105" s="266">
        <f>'Data Tab Box - Input and Output'!D108</f>
        <v>1.1162118773283174</v>
      </c>
      <c r="E105" s="266">
        <f>'Data Tab Box - Input and Output'!E108</f>
        <v>1.6902251323843198</v>
      </c>
    </row>
    <row r="106" spans="1:5">
      <c r="A106" s="265">
        <f>'Data Tab Box - Input and Output'!A109</f>
        <v>53</v>
      </c>
      <c r="B106" s="266">
        <f>'Data Tab Box - Input and Output'!B109</f>
        <v>0.57950633002349072</v>
      </c>
      <c r="C106" s="266">
        <f>'Data Tab Box - Input and Output'!C109</f>
        <v>11.805606012964068</v>
      </c>
      <c r="D106" s="266">
        <f>'Data Tab Box - Input and Output'!D109</f>
        <v>1.7193603090165559</v>
      </c>
      <c r="E106" s="266">
        <f>'Data Tab Box - Input and Output'!E109</f>
        <v>2.2988666390400465</v>
      </c>
    </row>
    <row r="107" spans="1:5">
      <c r="A107" s="265">
        <f>'Data Tab Box - Input and Output'!A110</f>
        <v>54</v>
      </c>
      <c r="B107" s="266">
        <f>'Data Tab Box - Input and Output'!B110</f>
        <v>0.58494782339504636</v>
      </c>
      <c r="C107" s="266">
        <f>'Data Tab Box - Input and Output'!C110</f>
        <v>11.91645920565333</v>
      </c>
      <c r="D107" s="266">
        <f>'Data Tab Box - Input and Output'!D110</f>
        <v>2.4396362338219868</v>
      </c>
      <c r="E107" s="266">
        <f>'Data Tab Box - Input and Output'!E110</f>
        <v>3.0245840572170333</v>
      </c>
    </row>
    <row r="108" spans="1:5">
      <c r="A108" s="265">
        <f>'Data Tab Box - Input and Output'!A111</f>
        <v>55</v>
      </c>
      <c r="B108" s="266">
        <f>'Data Tab Box - Input and Output'!B111</f>
        <v>0.59033916154352306</v>
      </c>
      <c r="C108" s="266">
        <f>'Data Tab Box - Input and Output'!C111</f>
        <v>12.026290644528208</v>
      </c>
      <c r="D108" s="266">
        <f>'Data Tab Box - Input and Output'!D111</f>
        <v>3.2703529131323239</v>
      </c>
      <c r="E108" s="266">
        <f>'Data Tab Box - Input and Output'!E111</f>
        <v>3.8606920746758471</v>
      </c>
    </row>
    <row r="109" spans="1:5">
      <c r="A109" s="265">
        <f>'Data Tab Box - Input and Output'!A112</f>
        <v>56</v>
      </c>
      <c r="B109" s="266">
        <f>'Data Tab Box - Input and Output'!B112</f>
        <v>0.59568170629054673</v>
      </c>
      <c r="C109" s="266">
        <f>'Data Tab Box - Input and Output'!C112</f>
        <v>12.13512807239105</v>
      </c>
      <c r="D109" s="266">
        <f>'Data Tab Box - Input and Output'!D112</f>
        <v>4.2045324941750497</v>
      </c>
      <c r="E109" s="266">
        <f>'Data Tab Box - Input and Output'!E112</f>
        <v>4.8002142004655965</v>
      </c>
    </row>
    <row r="110" spans="1:5">
      <c r="A110" s="265">
        <f>'Data Tab Box - Input and Output'!A113</f>
        <v>57</v>
      </c>
      <c r="B110" s="266">
        <f>'Data Tab Box - Input and Output'!B113</f>
        <v>0.60097675892377456</v>
      </c>
      <c r="C110" s="266">
        <f>'Data Tab Box - Input and Output'!C113</f>
        <v>12.242997998856326</v>
      </c>
      <c r="D110" s="266">
        <f>'Data Tab Box - Input and Output'!D113</f>
        <v>5.2348702136302014</v>
      </c>
      <c r="E110" s="266">
        <f>'Data Tab Box - Input and Output'!E113</f>
        <v>5.8358469725539761</v>
      </c>
    </row>
    <row r="111" spans="1:5">
      <c r="A111" s="265">
        <f>'Data Tab Box - Input and Output'!A114</f>
        <v>58</v>
      </c>
      <c r="B111" s="266">
        <f>'Data Tab Box - Input and Output'!B114</f>
        <v>0.60622556389831672</v>
      </c>
      <c r="C111" s="266">
        <f>'Data Tab Box - Input and Output'!C114</f>
        <v>12.349925775755361</v>
      </c>
      <c r="D111" s="266">
        <f>'Data Tab Box - Input and Output'!D114</f>
        <v>6.3536912640371561</v>
      </c>
      <c r="E111" s="266">
        <f>'Data Tab Box - Input and Output'!E114</f>
        <v>6.9599168279354728</v>
      </c>
    </row>
    <row r="112" spans="1:5">
      <c r="A112" s="265">
        <f>'Data Tab Box - Input and Output'!A115</f>
        <v>59</v>
      </c>
      <c r="B112" s="266">
        <f>'Data Tab Box - Input and Output'!B115</f>
        <v>0.61142931225215191</v>
      </c>
      <c r="C112" s="266">
        <f>'Data Tab Box - Input and Output'!C115</f>
        <v>12.455935666714616</v>
      </c>
      <c r="D112" s="266">
        <f>'Data Tab Box - Input and Output'!D115</f>
        <v>7.5528981561030726</v>
      </c>
      <c r="E112" s="266">
        <f>'Data Tab Box - Input and Output'!E115</f>
        <v>8.1643274683552249</v>
      </c>
    </row>
    <row r="113" spans="1:5">
      <c r="A113" s="265">
        <f>'Data Tab Box - Input and Output'!A116</f>
        <v>60</v>
      </c>
      <c r="B113" s="266">
        <f>'Data Tab Box - Input and Output'!B116</f>
        <v>0.61658914476209115</v>
      </c>
      <c r="C113" s="266">
        <f>'Data Tab Box - Input and Output'!C116</f>
        <v>12.561050911448453</v>
      </c>
      <c r="D113" s="266">
        <f>'Data Tab Box - Input and Output'!D116</f>
        <v>8.8239055480095647</v>
      </c>
      <c r="E113" s="266">
        <f>'Data Tab Box - Input and Output'!E116</f>
        <v>9.4404946927716562</v>
      </c>
    </row>
    <row r="114" spans="1:5">
      <c r="A114" s="265">
        <f>'Data Tab Box - Input and Output'!A117</f>
        <v>61</v>
      </c>
      <c r="B114" s="266">
        <f>'Data Tab Box - Input and Output'!B117</f>
        <v>0.62170615486397951</v>
      </c>
      <c r="C114" s="266">
        <f>'Data Tab Box - Input and Output'!C117</f>
        <v>12.66529378524899</v>
      </c>
      <c r="D114" s="266">
        <f>'Data Tab Box - Input and Output'!D117</f>
        <v>10.157558205722053</v>
      </c>
      <c r="E114" s="266">
        <f>'Data Tab Box - Input and Output'!E117</f>
        <v>10.779264360586032</v>
      </c>
    </row>
    <row r="115" spans="1:5">
      <c r="A115" s="265">
        <f>'Data Tab Box - Input and Output'!A118</f>
        <v>62</v>
      </c>
      <c r="B115" s="266">
        <f>'Data Tab Box - Input and Output'!B118</f>
        <v>0.62678139135831235</v>
      </c>
      <c r="C115" s="266">
        <f>'Data Tab Box - Input and Output'!C118</f>
        <v>12.768685654104472</v>
      </c>
      <c r="D115" s="266">
        <f>'Data Tab Box - Input and Output'!D118</f>
        <v>11.544025714252124</v>
      </c>
      <c r="E115" s="266">
        <f>'Data Tab Box - Input and Output'!E118</f>
        <v>12.170807105610436</v>
      </c>
    </row>
    <row r="116" spans="1:5">
      <c r="A116" s="265">
        <f>'Data Tab Box - Input and Output'!A119</f>
        <v>63</v>
      </c>
      <c r="B116" s="266">
        <f>'Data Tab Box - Input and Output'!B119</f>
        <v>0.63181586092022846</v>
      </c>
      <c r="C116" s="266">
        <f>'Data Tab Box - Input and Output'!C119</f>
        <v>12.871247025832425</v>
      </c>
      <c r="D116" s="266">
        <f>'Data Tab Box - Input and Output'!D119</f>
        <v>12.972664246737905</v>
      </c>
      <c r="E116" s="266">
        <f>'Data Tab Box - Input and Output'!E119</f>
        <v>13.604480107658134</v>
      </c>
    </row>
    <row r="117" spans="1:5">
      <c r="A117" s="265">
        <f>'Data Tab Box - Input and Output'!A120</f>
        <v>64</v>
      </c>
      <c r="B117" s="266">
        <f>'Data Tab Box - Input and Output'!B120</f>
        <v>0.63681053043089419</v>
      </c>
      <c r="C117" s="266">
        <f>'Data Tab Box - Input and Output'!C120</f>
        <v>12.972997597574228</v>
      </c>
      <c r="D117" s="266">
        <f>'Data Tab Box - Input and Output'!D120</f>
        <v>14.431830097087882</v>
      </c>
      <c r="E117" s="266">
        <f>'Data Tab Box - Input and Output'!E120</f>
        <v>15.068640627518777</v>
      </c>
    </row>
    <row r="118" spans="1:5">
      <c r="A118" s="265">
        <f>'Data Tab Box - Input and Output'!A121</f>
        <v>65</v>
      </c>
      <c r="B118" s="266">
        <f>'Data Tab Box - Input and Output'!B121</f>
        <v>0.6417663291455733</v>
      </c>
      <c r="C118" s="266">
        <f>'Data Tab Box - Input and Output'!C121</f>
        <v>13.073956299962662</v>
      </c>
      <c r="D118" s="266">
        <f>'Data Tab Box - Input and Output'!D121</f>
        <v>15.90861972340309</v>
      </c>
      <c r="E118" s="266">
        <f>'Data Tab Box - Input and Output'!E121</f>
        <v>16.550386052548664</v>
      </c>
    </row>
    <row r="119" spans="1:5">
      <c r="A119" s="265">
        <f>'Data Tab Box - Input and Output'!A122</f>
        <v>66</v>
      </c>
      <c r="B119" s="266">
        <f>'Data Tab Box - Input and Output'!B122</f>
        <v>0.64668415071214769</v>
      </c>
      <c r="C119" s="266">
        <f>'Data Tab Box - Input and Output'!C122</f>
        <v>13.174141338242885</v>
      </c>
      <c r="D119" s="266">
        <f>'Data Tab Box - Input and Output'!D122</f>
        <v>17.388492222171333</v>
      </c>
      <c r="E119" s="266">
        <f>'Data Tab Box - Input and Output'!E122</f>
        <v>18.03517637288348</v>
      </c>
    </row>
    <row r="120" spans="1:5">
      <c r="A120" s="265">
        <f>'Data Tab Box - Input and Output'!A123</f>
        <v>67</v>
      </c>
      <c r="B120" s="266">
        <f>'Data Tab Box - Input and Output'!B123</f>
        <v>0.65156485505251061</v>
      </c>
      <c r="C120" s="266">
        <f>'Data Tab Box - Input and Output'!C123</f>
        <v>13.273570230599855</v>
      </c>
      <c r="D120" s="266">
        <f>'Data Tab Box - Input and Output'!D123</f>
        <v>18.854691719324091</v>
      </c>
      <c r="E120" s="266">
        <f>'Data Tab Box - Input and Output'!E123</f>
        <v>19.5062565743766</v>
      </c>
    </row>
    <row r="121" spans="1:5">
      <c r="A121" s="265">
        <f>'Data Tab Box - Input and Output'!A124</f>
        <v>68</v>
      </c>
      <c r="B121" s="266">
        <f>'Data Tab Box - Input and Output'!B124</f>
        <v>0.65640927011804662</v>
      </c>
      <c r="C121" s="266">
        <f>'Data Tab Box - Input and Output'!C124</f>
        <v>13.372259843920673</v>
      </c>
      <c r="D121" s="266">
        <f>'Data Tab Box - Input and Output'!D124</f>
        <v>20.287300522300068</v>
      </c>
      <c r="E121" s="266">
        <f>'Data Tab Box - Input and Output'!E124</f>
        <v>20.943709792418115</v>
      </c>
    </row>
    <row r="122" spans="1:5">
      <c r="A122" s="265">
        <f>'Data Tab Box - Input and Output'!A125</f>
        <v>69</v>
      </c>
      <c r="B122" s="266">
        <f>'Data Tab Box - Input and Output'!B125</f>
        <v>0.66121819352934774</v>
      </c>
      <c r="C122" s="266">
        <f>'Data Tab Box - Input and Output'!C125</f>
        <v>13.470226427198615</v>
      </c>
      <c r="D122" s="266">
        <f>'Data Tab Box - Input and Output'!D125</f>
        <v>21.661530454165408</v>
      </c>
      <c r="E122" s="266">
        <f>'Data Tab Box - Input and Output'!E125</f>
        <v>22.322748647694755</v>
      </c>
    </row>
    <row r="123" spans="1:5">
      <c r="A123" s="265">
        <f>'Data Tab Box - Input and Output'!A126</f>
        <v>70</v>
      </c>
      <c r="B123" s="266">
        <f>'Data Tab Box - Input and Output'!B126</f>
        <v>0.66599239410936328</v>
      </c>
      <c r="C123" s="266">
        <f>'Data Tab Box - Input and Output'!C126</f>
        <v>13.567485642766188</v>
      </c>
      <c r="D123" s="266">
        <f>'Data Tab Box - Input and Output'!D126</f>
        <v>22.944158757185424</v>
      </c>
      <c r="E123" s="266">
        <f>'Data Tab Box - Input and Output'!E126</f>
        <v>23.610151151294787</v>
      </c>
    </row>
    <row r="124" spans="1:5">
      <c r="A124" s="265">
        <f>'Data Tab Box - Input and Output'!A127</f>
        <v>71</v>
      </c>
      <c r="B124" s="266">
        <f>'Data Tab Box - Input and Output'!B127</f>
        <v>0.67073261331832446</v>
      </c>
      <c r="C124" s="266">
        <f>'Data Tab Box - Input and Output'!C127</f>
        <v>13.66405259552719</v>
      </c>
      <c r="D124" s="266">
        <f>'Data Tab Box - Input and Output'!D127</f>
        <v>24.08395750730558</v>
      </c>
      <c r="E124" s="266">
        <f>'Data Tab Box - Input and Output'!E127</f>
        <v>24.754690120623906</v>
      </c>
    </row>
    <row r="125" spans="1:5">
      <c r="A125" s="265">
        <f>'Data Tab Box - Input and Output'!A128</f>
        <v>72</v>
      </c>
      <c r="B125" s="266">
        <f>'Data Tab Box - Input and Output'!B128</f>
        <v>0.67543956659803128</v>
      </c>
      <c r="C125" s="266">
        <f>'Data Tab Box - Input and Output'!C128</f>
        <v>13.759941860342288</v>
      </c>
      <c r="D125" s="266">
        <f>'Data Tab Box - Input and Output'!D128</f>
        <v>24.957773798188644</v>
      </c>
      <c r="E125" s="266">
        <f>'Data Tab Box - Input and Output'!E128</f>
        <v>25.633213364786673</v>
      </c>
    </row>
    <row r="126" spans="1:5">
      <c r="A126" s="265">
        <f>'Data Tab Box - Input and Output'!A129</f>
        <v>73</v>
      </c>
      <c r="B126" s="266">
        <f>'Data Tab Box - Input and Output'!B129</f>
        <v>0.68011394463240049</v>
      </c>
      <c r="C126" s="266">
        <f>'Data Tab Box - Input and Output'!C129</f>
        <v>13.855167507708693</v>
      </c>
      <c r="D126" s="266">
        <f>'Data Tab Box - Input and Output'!D129</f>
        <v>25.472421217235766</v>
      </c>
      <c r="E126" s="266">
        <f>'Data Tab Box - Input and Output'!E129</f>
        <v>26.152535161868165</v>
      </c>
    </row>
    <row r="127" spans="1:5">
      <c r="A127" s="265">
        <f>'Data Tab Box - Input and Output'!A130</f>
        <v>74</v>
      </c>
      <c r="B127" s="266">
        <f>'Data Tab Box - Input and Output'!B130</f>
        <v>0.68475641453056235</v>
      </c>
      <c r="C127" s="266">
        <f>'Data Tab Box - Input and Output'!C130</f>
        <v>13.949743127862009</v>
      </c>
      <c r="D127" s="266">
        <f>'Data Tab Box - Input and Output'!D130</f>
        <v>25.976874569028013</v>
      </c>
      <c r="E127" s="266">
        <f>'Data Tab Box - Input and Output'!E130</f>
        <v>26.661630983558574</v>
      </c>
    </row>
    <row r="128" spans="1:5">
      <c r="A128" s="265">
        <f>'Data Tab Box - Input and Output'!A131</f>
        <v>75</v>
      </c>
      <c r="B128" s="266">
        <f>'Data Tab Box - Input and Output'!B131</f>
        <v>0.68936762093824722</v>
      </c>
      <c r="C128" s="266">
        <f>'Data Tab Box - Input and Output'!C131</f>
        <v>14.043681853417217</v>
      </c>
      <c r="D128" s="266">
        <f>'Data Tab Box - Input and Output'!D131</f>
        <v>26.471716644028689</v>
      </c>
      <c r="E128" s="266">
        <f>'Data Tab Box - Input and Output'!E131</f>
        <v>27.161084264966934</v>
      </c>
    </row>
    <row r="129" spans="1:5">
      <c r="A129" s="265">
        <f>'Data Tab Box - Input and Output'!A132</f>
        <v>76</v>
      </c>
      <c r="B129" s="266">
        <f>'Data Tab Box - Input and Output'!B132</f>
        <v>0.69394818708270012</v>
      </c>
      <c r="C129" s="266">
        <f>'Data Tab Box - Input and Output'!C132</f>
        <v>14.136996380655498</v>
      </c>
      <c r="D129" s="266">
        <f>'Data Tab Box - Input and Output'!D132</f>
        <v>26.957476732596412</v>
      </c>
      <c r="E129" s="266">
        <f>'Data Tab Box - Input and Output'!E132</f>
        <v>27.651424919679112</v>
      </c>
    </row>
    <row r="130" spans="1:5">
      <c r="A130" s="265">
        <f>'Data Tab Box - Input and Output'!A133</f>
        <v>77</v>
      </c>
      <c r="B130" s="266">
        <f>'Data Tab Box - Input and Output'!B133</f>
        <v>0.69849871575592293</v>
      </c>
      <c r="C130" s="266">
        <f>'Data Tab Box - Input and Output'!C133</f>
        <v>14.229698989554674</v>
      </c>
      <c r="D130" s="266">
        <f>'Data Tab Box - Input and Output'!D133</f>
        <v>27.434637258312861</v>
      </c>
      <c r="E130" s="266">
        <f>'Data Tab Box - Input and Output'!E133</f>
        <v>28.133135974068786</v>
      </c>
    </row>
    <row r="131" spans="1:5">
      <c r="A131" s="265">
        <f>'Data Tab Box - Input and Output'!A134</f>
        <v>78</v>
      </c>
      <c r="B131" s="266">
        <f>'Data Tab Box - Input and Output'!B134</f>
        <v>0.70301979024063133</v>
      </c>
      <c r="C131" s="266">
        <f>'Data Tab Box - Input and Output'!C134</f>
        <v>14.321801562652656</v>
      </c>
      <c r="D131" s="266">
        <f>'Data Tab Box - Input and Output'!D134</f>
        <v>27.903639389906463</v>
      </c>
      <c r="E131" s="266">
        <f>'Data Tab Box - Input and Output'!E134</f>
        <v>28.606659180147094</v>
      </c>
    </row>
    <row r="132" spans="1:5">
      <c r="A132" s="265">
        <f>'Data Tab Box - Input and Output'!A135</f>
        <v>79</v>
      </c>
      <c r="B132" s="266">
        <f>'Data Tab Box - Input and Output'!B135</f>
        <v>0.70751197518295661</v>
      </c>
      <c r="C132" s="266">
        <f>'Data Tab Box - Input and Output'!C135</f>
        <v>14.413315602825975</v>
      </c>
      <c r="D132" s="266">
        <f>'Data Tab Box - Input and Output'!D135</f>
        <v>28.364887817664126</v>
      </c>
      <c r="E132" s="266">
        <f>'Data Tab Box - Input and Output'!E135</f>
        <v>29.072399792847083</v>
      </c>
    </row>
    <row r="133" spans="1:5">
      <c r="A133" s="265">
        <f>'Data Tab Box - Input and Output'!A136</f>
        <v>80</v>
      </c>
      <c r="B133" s="266">
        <f>'Data Tab Box - Input and Output'!B136</f>
        <v>0.71197581741558891</v>
      </c>
      <c r="C133" s="266">
        <f>'Data Tab Box - Input and Output'!C136</f>
        <v>14.504252250058716</v>
      </c>
      <c r="D133" s="266">
        <f>'Data Tab Box - Input and Output'!D136</f>
        <v>28.818754841516007</v>
      </c>
      <c r="E133" s="266">
        <f>'Data Tab Box - Input and Output'!E136</f>
        <v>29.530730658931596</v>
      </c>
    </row>
    <row r="134" spans="1:5">
      <c r="A134" s="265">
        <f>'Data Tab Box - Input and Output'!A137</f>
        <v>81</v>
      </c>
      <c r="B134" s="266">
        <f>'Data Tab Box - Input and Output'!B137</f>
        <v>0.716411846734756</v>
      </c>
      <c r="C134" s="266">
        <f>'Data Tab Box - Input and Output'!C137</f>
        <v>14.594622297271007</v>
      </c>
      <c r="D134" s="266">
        <f>'Data Tab Box - Input and Output'!D137</f>
        <v>29.265583888283068</v>
      </c>
      <c r="E134" s="266">
        <f>'Data Tab Box - Input and Output'!E137</f>
        <v>29.981995735017826</v>
      </c>
    </row>
    <row r="135" spans="1:5">
      <c r="A135" s="265">
        <f>'Data Tab Box - Input and Output'!A138</f>
        <v>82</v>
      </c>
      <c r="B135" s="266">
        <f>'Data Tab Box - Input and Output'!B138</f>
        <v>0.72082057663416554</v>
      </c>
      <c r="C135" s="266">
        <f>'Data Tab Box - Input and Output'!C138</f>
        <v>14.684436205270758</v>
      </c>
      <c r="D135" s="266">
        <f>'Data Tab Box - Input and Output'!D138</f>
        <v>29.705692552587706</v>
      </c>
      <c r="E135" s="266">
        <f>'Data Tab Box - Input and Output'!E138</f>
        <v>30.42651312922187</v>
      </c>
    </row>
    <row r="136" spans="1:5">
      <c r="A136" s="265">
        <f>'Data Tab Box - Input and Output'!A139</f>
        <v>83</v>
      </c>
      <c r="B136" s="266">
        <f>'Data Tab Box - Input and Output'!B139</f>
        <v>0.72520250499878891</v>
      </c>
      <c r="C136" s="266">
        <f>'Data Tab Box - Input and Output'!C139</f>
        <v>14.773704116887322</v>
      </c>
      <c r="D136" s="266">
        <f>'Data Tab Box - Input and Output'!D139</f>
        <v>30.139375237977251</v>
      </c>
      <c r="E136" s="266">
        <f>'Data Tab Box - Input and Output'!E139</f>
        <v>30.864577742976039</v>
      </c>
    </row>
    <row r="137" spans="1:5">
      <c r="A137" s="265">
        <f>'Data Tab Box - Input and Output'!A140</f>
        <v>84</v>
      </c>
      <c r="B137" s="266">
        <f>'Data Tab Box - Input and Output'!B140</f>
        <v>0.72955811476113808</v>
      </c>
      <c r="C137" s="266">
        <f>'Data Tab Box - Input and Output'!C140</f>
        <v>14.862435870341042</v>
      </c>
      <c r="D137" s="266">
        <f>'Data Tab Box - Input and Output'!D140</f>
        <v>30.566905460682921</v>
      </c>
      <c r="E137" s="266">
        <f>'Data Tab Box - Input and Output'!E140</f>
        <v>31.296463575444058</v>
      </c>
    </row>
    <row r="138" spans="1:5">
      <c r="A138" s="265">
        <f>'Data Tab Box - Input and Output'!A141</f>
        <v>85</v>
      </c>
      <c r="B138" s="266">
        <f>'Data Tab Box - Input and Output'!B141</f>
        <v>0.73388787452248672</v>
      </c>
      <c r="C138" s="266">
        <f>'Data Tab Box - Input and Output'!C141</f>
        <v>14.950641011898675</v>
      </c>
      <c r="D138" s="266">
        <f>'Data Tab Box - Input and Output'!D141</f>
        <v>30.988537867235017</v>
      </c>
      <c r="E138" s="266">
        <f>'Data Tab Box - Input and Output'!E141</f>
        <v>31.722425741757505</v>
      </c>
    </row>
    <row r="139" spans="1:5">
      <c r="A139" s="265">
        <f>'Data Tab Box - Input and Output'!A142</f>
        <v>86</v>
      </c>
      <c r="B139" s="266">
        <f>'Data Tab Box - Input and Output'!B142</f>
        <v>0.73819223914129628</v>
      </c>
      <c r="C139" s="266">
        <f>'Data Tab Box - Input and Output'!C142</f>
        <v>15.038328807860712</v>
      </c>
      <c r="D139" s="266">
        <f>'Data Tab Box - Input and Output'!D142</f>
        <v>31.404510008210448</v>
      </c>
      <c r="E139" s="266">
        <f>'Data Tab Box - Input and Output'!E142</f>
        <v>32.142702247351743</v>
      </c>
    </row>
    <row r="140" spans="1:5">
      <c r="A140" s="265">
        <f>'Data Tab Box - Input and Output'!A143</f>
        <v>87</v>
      </c>
      <c r="B140" s="266">
        <f>'Data Tab Box - Input and Output'!B143</f>
        <v>0.74247165029093753</v>
      </c>
      <c r="C140" s="266">
        <f>'Data Tab Box - Input and Output'!C143</f>
        <v>15.125508255923172</v>
      </c>
      <c r="D140" s="266">
        <f>'Data Tab Box - Input and Output'!D143</f>
        <v>31.815043903199651</v>
      </c>
      <c r="E140" s="266">
        <f>'Data Tab Box - Input and Output'!E143</f>
        <v>32.557515553490589</v>
      </c>
    </row>
    <row r="141" spans="1:5">
      <c r="A141" s="265">
        <f>'Data Tab Box - Input and Output'!A144</f>
        <v>88</v>
      </c>
      <c r="B141" s="266">
        <f>'Data Tab Box - Input and Output'!B144</f>
        <v>0.74672653698864599</v>
      </c>
      <c r="C141" s="266">
        <f>'Data Tab Box - Input and Output'!C144</f>
        <v>15.212188095953412</v>
      </c>
      <c r="D141" s="266">
        <f>'Data Tab Box - Input and Output'!D144</f>
        <v>32.220347426265477</v>
      </c>
      <c r="E141" s="266">
        <f>'Data Tab Box - Input and Output'!E144</f>
        <v>32.967073963254123</v>
      </c>
    </row>
    <row r="142" spans="1:5">
      <c r="A142" s="265">
        <f>'Data Tab Box - Input and Output'!A145</f>
        <v>89</v>
      </c>
      <c r="B142" s="266">
        <f>'Data Tab Box - Input and Output'!B145</f>
        <v>0.75095731609750171</v>
      </c>
      <c r="C142" s="266">
        <f>'Data Tab Box - Input and Output'!C145</f>
        <v>15.298376820216365</v>
      </c>
      <c r="D142" s="266">
        <f>'Data Tab Box - Input and Output'!D145</f>
        <v>32.620615536436219</v>
      </c>
      <c r="E142" s="266">
        <f>'Data Tab Box - Input and Output'!E145</f>
        <v>33.371572852533724</v>
      </c>
    </row>
    <row r="143" spans="1:5">
      <c r="A143" s="265">
        <f>'Data Tab Box - Input and Output'!A146</f>
        <v>90</v>
      </c>
      <c r="B143" s="266">
        <f>'Data Tab Box - Input and Output'!B146</f>
        <v>0.75516439280309722</v>
      </c>
      <c r="C143" s="266">
        <f>'Data Tab Box - Input and Output'!C146</f>
        <v>15.384082683085138</v>
      </c>
      <c r="D143" s="266">
        <f>'Data Tab Box - Input and Output'!D146</f>
        <v>33.016031373905548</v>
      </c>
      <c r="E143" s="266">
        <f>'Data Tab Box - Input and Output'!E146</f>
        <v>33.771195766708644</v>
      </c>
    </row>
    <row r="144" spans="1:5">
      <c r="A144" s="265">
        <f>'Data Tab Box - Input and Output'!A147</f>
        <v>91</v>
      </c>
      <c r="B144" s="266">
        <f>'Data Tab Box - Input and Output'!B147</f>
        <v>0.75934816106643588</v>
      </c>
      <c r="C144" s="266">
        <f>'Data Tab Box - Input and Output'!C147</f>
        <v>15.469313710267389</v>
      </c>
      <c r="D144" s="266">
        <f>'Data Tab Box - Input and Output'!D147</f>
        <v>33.406767239429897</v>
      </c>
      <c r="E144" s="266">
        <f>'Data Tab Box - Input and Output'!E147</f>
        <v>34.166115400496331</v>
      </c>
    </row>
    <row r="145" spans="1:5">
      <c r="A145" s="265">
        <f>'Data Tab Box - Input and Output'!A148</f>
        <v>92</v>
      </c>
      <c r="B145" s="266">
        <f>'Data Tab Box - Input and Output'!B148</f>
        <v>0.76350900405449407</v>
      </c>
      <c r="C145" s="266">
        <f>'Data Tab Box - Input and Output'!C148</f>
        <v>15.554077707576665</v>
      </c>
      <c r="D145" s="266">
        <f>'Data Tab Box - Input and Output'!D148</f>
        <v>33.792985471783609</v>
      </c>
      <c r="E145" s="266">
        <f>'Data Tab Box - Input and Output'!E148</f>
        <v>34.5564944758381</v>
      </c>
    </row>
    <row r="146" spans="1:5">
      <c r="A146" s="265">
        <f>'Data Tab Box - Input and Output'!A149</f>
        <v>93</v>
      </c>
      <c r="B146" s="266">
        <f>'Data Tab Box - Input and Output'!B149</f>
        <v>0.76764729454977754</v>
      </c>
      <c r="C146" s="266">
        <f>'Data Tab Box - Input and Output'!C149</f>
        <v>15.638382269275811</v>
      </c>
      <c r="D146" s="266">
        <f>'Data Tab Box - Input and Output'!D149</f>
        <v>34.174839235948269</v>
      </c>
      <c r="E146" s="266">
        <f>'Data Tab Box - Input and Output'!E149</f>
        <v>34.942486530498044</v>
      </c>
    </row>
    <row r="147" spans="1:5">
      <c r="A147" s="265">
        <f>'Data Tab Box - Input and Output'!A150</f>
        <v>94</v>
      </c>
      <c r="B147" s="266">
        <f>'Data Tab Box - Input and Output'!B150</f>
        <v>0.77176339534011351</v>
      </c>
      <c r="C147" s="266">
        <f>'Data Tab Box - Input and Output'!C150</f>
        <v>15.722234786017752</v>
      </c>
      <c r="D147" s="266">
        <f>'Data Tab Box - Input and Output'!D150</f>
        <v>34.552473232890875</v>
      </c>
      <c r="E147" s="266">
        <f>'Data Tab Box - Input and Output'!E150</f>
        <v>35.324236628230992</v>
      </c>
    </row>
    <row r="148" spans="1:5">
      <c r="A148" s="265">
        <f>'Data Tab Box - Input and Output'!A151</f>
        <v>95</v>
      </c>
      <c r="B148" s="266">
        <f>'Data Tab Box - Input and Output'!B151</f>
        <v>0.77585765958982955</v>
      </c>
      <c r="C148" s="266">
        <f>'Data Tab Box - Input and Output'!C151</f>
        <v>15.805642452407096</v>
      </c>
      <c r="D148" s="266">
        <f>'Data Tab Box - Input and Output'!D151</f>
        <v>34.926024340259112</v>
      </c>
      <c r="E148" s="266">
        <f>'Data Tab Box - Input and Output'!E151</f>
        <v>35.701881999848943</v>
      </c>
    </row>
    <row r="149" spans="1:5">
      <c r="A149" s="265">
        <f>'Data Tab Box - Input and Output'!A152</f>
        <v>96</v>
      </c>
      <c r="B149" s="266">
        <f>'Data Tab Box - Input and Output'!B152</f>
        <v>0.77993043119339511</v>
      </c>
      <c r="C149" s="266">
        <f>'Data Tab Box - Input and Output'!C152</f>
        <v>15.888612274204441</v>
      </c>
      <c r="D149" s="266">
        <f>'Data Tab Box - Input and Output'!D152</f>
        <v>35.295622192038259</v>
      </c>
      <c r="E149" s="266">
        <f>'Data Tab Box - Input and Output'!E152</f>
        <v>36.075552623231651</v>
      </c>
    </row>
    <row r="150" spans="1:5">
      <c r="A150" s="265">
        <f>'Data Tab Box - Input and Output'!A153</f>
        <v>97</v>
      </c>
      <c r="B150" s="266">
        <f>'Data Tab Box - Input and Output'!B153</f>
        <v>0.78398204511252856</v>
      </c>
      <c r="C150" s="266">
        <f>'Data Tab Box - Input and Output'!C153</f>
        <v>15.971151075193882</v>
      </c>
      <c r="D150" s="266">
        <f>'Data Tab Box - Input and Output'!D153</f>
        <v>35.66138970413008</v>
      </c>
      <c r="E150" s="266">
        <f>'Data Tab Box - Input and Output'!E153</f>
        <v>36.445371749242611</v>
      </c>
    </row>
    <row r="151" spans="1:5">
      <c r="A151" s="265">
        <f>'Data Tab Box - Input and Output'!A154</f>
        <v>98</v>
      </c>
      <c r="B151" s="266">
        <f>'Data Tab Box - Input and Output'!B154</f>
        <v>0.7880128276977032</v>
      </c>
      <c r="C151" s="266">
        <f>'Data Tab Box - Input and Output'!C154</f>
        <v>16.053265503732671</v>
      </c>
      <c r="D151" s="266">
        <f>'Data Tab Box - Input and Output'!D154</f>
        <v>36.023443551895006</v>
      </c>
      <c r="E151" s="266">
        <f>'Data Tab Box - Input and Output'!E154</f>
        <v>36.811456379592713</v>
      </c>
    </row>
    <row r="152" spans="1:5">
      <c r="A152" s="265">
        <f>'Data Tab Box - Input and Output'!A155</f>
        <v>99</v>
      </c>
      <c r="B152" s="266">
        <f>'Data Tab Box - Input and Output'!B155</f>
        <v>0.79202309699492834</v>
      </c>
      <c r="C152" s="266">
        <f>'Data Tab Box - Input and Output'!C155</f>
        <v>16.1349620390009</v>
      </c>
      <c r="D152" s="266">
        <f>'Data Tab Box - Input and Output'!D155</f>
        <v>36.381894604917122</v>
      </c>
      <c r="E152" s="266">
        <f>'Data Tab Box - Input and Output'!E155</f>
        <v>37.173917701912053</v>
      </c>
    </row>
    <row r="153" spans="1:5">
      <c r="A153" s="265">
        <f>'Data Tab Box - Input and Output'!A156</f>
        <v>100</v>
      </c>
      <c r="B153" s="266">
        <f>'Data Tab Box - Input and Output'!B156</f>
        <v>0.79601316303861769</v>
      </c>
      <c r="C153" s="266">
        <f>'Data Tab Box - Input and Output'!C156</f>
        <v>16.216246996967783</v>
      </c>
      <c r="D153" s="266">
        <f>'Data Tab Box - Input and Output'!D156</f>
        <v>36.736848323584169</v>
      </c>
      <c r="E153" s="266">
        <f>'Data Tab Box - Input and Output'!E156</f>
        <v>37.532861486622785</v>
      </c>
    </row>
    <row r="154" spans="1:5">
      <c r="A154" s="265">
        <f>'Data Tab Box - Input and Output'!A157</f>
        <v>101</v>
      </c>
      <c r="B154" s="266">
        <f>'Data Tab Box - Input and Output'!B157</f>
        <v>0.79998332813131323</v>
      </c>
      <c r="C154" s="266">
        <f>'Data Tab Box - Input and Output'!C157</f>
        <v>16.297126536090136</v>
      </c>
      <c r="D154" s="266">
        <f>'Data Tab Box - Input and Output'!D157</f>
        <v>37.088405121503399</v>
      </c>
      <c r="E154" s="266">
        <f>'Data Tab Box - Input and Output'!E157</f>
        <v>37.888388449634711</v>
      </c>
    </row>
    <row r="155" spans="1:5">
      <c r="A155" s="265">
        <f>'Data Tab Box - Input and Output'!A158</f>
        <v>102</v>
      </c>
      <c r="B155" s="266">
        <f>'Data Tab Box - Input and Output'!B158</f>
        <v>0.8039338871109738</v>
      </c>
      <c r="C155" s="266">
        <f>'Data Tab Box - Input and Output'!C158</f>
        <v>16.377606662757536</v>
      </c>
      <c r="D155" s="266">
        <f>'Data Tab Box - Input and Output'!D158</f>
        <v>37.436660697282967</v>
      </c>
      <c r="E155" s="266">
        <f>'Data Tab Box - Input and Output'!E158</f>
        <v>38.240594584393939</v>
      </c>
    </row>
    <row r="156" spans="1:5">
      <c r="A156" s="265">
        <f>'Data Tab Box - Input and Output'!A159</f>
        <v>103</v>
      </c>
      <c r="B156" s="266">
        <f>'Data Tab Box - Input and Output'!B159</f>
        <v>0.80786512760650064</v>
      </c>
      <c r="C156" s="266">
        <f>'Data Tab Box - Input and Output'!C159</f>
        <v>16.457693236497839</v>
      </c>
      <c r="D156" s="266">
        <f>'Data Tab Box - Input and Output'!D159</f>
        <v>37.781706338785476</v>
      </c>
      <c r="E156" s="266">
        <f>'Data Tab Box - Input and Output'!E159</f>
        <v>38.589571466391973</v>
      </c>
    </row>
    <row r="157" spans="1:5">
      <c r="A157" s="265">
        <f>'Data Tab Box - Input and Output'!A160</f>
        <v>104</v>
      </c>
      <c r="B157" s="266">
        <f>'Data Tab Box - Input and Output'!B160</f>
        <v>0.81177733028212529</v>
      </c>
      <c r="C157" s="266">
        <f>'Data Tab Box - Input and Output'!C160</f>
        <v>16.537391974955824</v>
      </c>
      <c r="D157" s="266">
        <f>'Data Tab Box - Input and Output'!D160</f>
        <v>38.123629202594991</v>
      </c>
      <c r="E157" s="266">
        <f>'Data Tab Box - Input and Output'!E160</f>
        <v>38.935406532877117</v>
      </c>
    </row>
    <row r="158" spans="1:5">
      <c r="A158" s="265">
        <f>'Data Tab Box - Input and Output'!A161</f>
        <v>105</v>
      </c>
      <c r="B158" s="266">
        <f>'Data Tab Box - Input and Output'!B161</f>
        <v>0.81567076907124869</v>
      </c>
      <c r="C158" s="266">
        <f>'Data Tab Box - Input and Output'!C161</f>
        <v>16.616708458656909</v>
      </c>
      <c r="D158" s="266">
        <f>'Data Tab Box - Input and Output'!D161</f>
        <v>38.462512571121572</v>
      </c>
      <c r="E158" s="266">
        <f>'Data Tab Box - Input and Output'!E161</f>
        <v>39.278183340192818</v>
      </c>
    </row>
    <row r="159" spans="1:5">
      <c r="A159" s="265">
        <f>'Data Tab Box - Input and Output'!A162</f>
        <v>106</v>
      </c>
      <c r="B159" s="266">
        <f>'Data Tab Box - Input and Output'!B162</f>
        <v>0.81954571140027921</v>
      </c>
      <c r="C159" s="266">
        <f>'Data Tab Box - Input and Output'!C162</f>
        <v>16.695648135567144</v>
      </c>
      <c r="D159" s="266">
        <f>'Data Tab Box - Input and Output'!D162</f>
        <v>38.798436089492277</v>
      </c>
      <c r="E159" s="266">
        <f>'Data Tab Box - Input and Output'!E162</f>
        <v>39.617981800892558</v>
      </c>
    </row>
    <row r="160" spans="1:5">
      <c r="A160" s="265">
        <f>'Data Tab Box - Input and Output'!A163</f>
        <v>107</v>
      </c>
      <c r="B160" s="266">
        <f>'Data Tab Box - Input and Output'!B163</f>
        <v>0.82340241840299278</v>
      </c>
      <c r="C160" s="266">
        <f>'Data Tab Box - Input and Output'!C163</f>
        <v>16.774216325460134</v>
      </c>
      <c r="D160" s="266">
        <f>'Data Tab Box - Input and Output'!D163</f>
        <v>39.131475984137722</v>
      </c>
      <c r="E160" s="266">
        <f>'Data Tab Box - Input and Output'!E163</f>
        <v>39.954878402540714</v>
      </c>
    </row>
    <row r="161" spans="1:5">
      <c r="A161" s="265">
        <f>'Data Tab Box - Input and Output'!A164</f>
        <v>108</v>
      </c>
      <c r="B161" s="266">
        <f>'Data Tab Box - Input and Output'!B164</f>
        <v>0.82724114512589653</v>
      </c>
      <c r="C161" s="266">
        <f>'Data Tab Box - Input and Output'!C164</f>
        <v>16.85241822410066</v>
      </c>
      <c r="D161" s="266">
        <f>'Data Tab Box - Input and Output'!D164</f>
        <v>39.461705264773833</v>
      </c>
      <c r="E161" s="266">
        <f>'Data Tab Box - Input and Output'!E164</f>
        <v>40.288946409899729</v>
      </c>
    </row>
    <row r="162" spans="1:5">
      <c r="A162" s="265">
        <f>'Data Tab Box - Input and Output'!A165</f>
        <v>109</v>
      </c>
      <c r="B162" s="266">
        <f>'Data Tab Box - Input and Output'!B165</f>
        <v>0.83106214072505569</v>
      </c>
      <c r="C162" s="266">
        <f>'Data Tab Box - Input and Output'!C165</f>
        <v>16.930258907254395</v>
      </c>
      <c r="D162" s="266">
        <f>'Data Tab Box - Input and Output'!D165</f>
        <v>39.789193911294689</v>
      </c>
      <c r="E162" s="266">
        <f>'Data Tab Box - Input and Output'!E165</f>
        <v>40.620256052019741</v>
      </c>
    </row>
    <row r="163" spans="1:5">
      <c r="A163" s="265">
        <f>'Data Tab Box - Input and Output'!A166</f>
        <v>110</v>
      </c>
      <c r="B163" s="266">
        <f>'Data Tab Box - Input and Output'!B166</f>
        <v>0.83486564865481172</v>
      </c>
      <c r="C163" s="266">
        <f>'Data Tab Box - Input and Output'!C166</f>
        <v>17.00774333453246</v>
      </c>
      <c r="D163" s="266">
        <f>'Data Tab Box - Input and Output'!D166</f>
        <v>40.11400904693199</v>
      </c>
      <c r="E163" s="266">
        <f>'Data Tab Box - Input and Output'!E166</f>
        <v>40.948874695586802</v>
      </c>
    </row>
    <row r="164" spans="1:5">
      <c r="A164" s="265">
        <f>'Data Tab Box - Input and Output'!A167</f>
        <v>111</v>
      </c>
      <c r="B164" s="266">
        <f>'Data Tab Box - Input and Output'!B167</f>
        <v>0.8386519068487992</v>
      </c>
      <c r="C164" s="266">
        <f>'Data Tab Box - Input and Output'!C167</f>
        <v>17.084876353079061</v>
      </c>
      <c r="D164" s="266">
        <f>'Data Tab Box - Input and Output'!D167</f>
        <v>40.436215098894621</v>
      </c>
      <c r="E164" s="266">
        <f>'Data Tab Box - Input and Output'!E167</f>
        <v>41.274867005743417</v>
      </c>
    </row>
    <row r="165" spans="1:5">
      <c r="A165" s="265">
        <f>'Data Tab Box - Input and Output'!A168</f>
        <v>112</v>
      </c>
      <c r="B165" s="266">
        <f>'Data Tab Box - Input and Output'!B168</f>
        <v>0.84242114789363787</v>
      </c>
      <c r="C165" s="266">
        <f>'Data Tab Box - Input and Output'!C168</f>
        <v>17.161662701109901</v>
      </c>
      <c r="D165" s="266">
        <f>'Data Tab Box - Input and Output'!D168</f>
        <v>40.755873947577228</v>
      </c>
      <c r="E165" s="266">
        <f>'Data Tab Box - Input and Output'!E168</f>
        <v>41.598295095470867</v>
      </c>
    </row>
    <row r="166" spans="1:5">
      <c r="A166" s="265">
        <f>'Data Tab Box - Input and Output'!A169</f>
        <v>113</v>
      </c>
      <c r="B166" s="266">
        <f>'Data Tab Box - Input and Output'!B169</f>
        <v>0.8461735991956626</v>
      </c>
      <c r="C166" s="266">
        <f>'Data Tab Box - Input and Output'!C169</f>
        <v>17.238107011308792</v>
      </c>
      <c r="D166" s="266">
        <f>'Data Tab Box - Input and Output'!D169</f>
        <v>41.073045065316684</v>
      </c>
      <c r="E166" s="266">
        <f>'Data Tab Box - Input and Output'!E169</f>
        <v>41.91921866451235</v>
      </c>
    </row>
    <row r="167" spans="1:5">
      <c r="A167" s="265">
        <f>'Data Tab Box - Input and Output'!A170</f>
        <v>114</v>
      </c>
      <c r="B167" s="266">
        <f>'Data Tab Box - Input and Output'!B170</f>
        <v>0.84990948314102799</v>
      </c>
      <c r="C167" s="266">
        <f>'Data Tab Box - Input and Output'!C170</f>
        <v>17.314213814089278</v>
      </c>
      <c r="D167" s="266">
        <f>'Data Tab Box - Input and Output'!D170</f>
        <v>41.387785645577452</v>
      </c>
      <c r="E167" s="266">
        <f>'Data Tab Box - Input and Output'!E170</f>
        <v>42.237695128718478</v>
      </c>
    </row>
    <row r="168" spans="1:5">
      <c r="A168" s="265">
        <f>'Data Tab Box - Input and Output'!A171</f>
        <v>115</v>
      </c>
      <c r="B168" s="266">
        <f>'Data Tab Box - Input and Output'!B171</f>
        <v>0.85362901724950568</v>
      </c>
      <c r="C168" s="266">
        <f>'Data Tab Box - Input and Output'!C171</f>
        <v>17.389987540727759</v>
      </c>
      <c r="D168" s="266">
        <f>'Data Tab Box - Input and Output'!D171</f>
        <v>41.700150723360679</v>
      </c>
      <c r="E168" s="266">
        <f>'Data Tab Box - Input and Output'!E171</f>
        <v>42.553779740610182</v>
      </c>
    </row>
    <row r="169" spans="1:5">
      <c r="A169" s="265">
        <f>'Data Tab Box - Input and Output'!A172</f>
        <v>116</v>
      </c>
      <c r="B169" s="266">
        <f>'Data Tab Box - Input and Output'!B172</f>
        <v>0.8573324143222768</v>
      </c>
      <c r="C169" s="266">
        <f>'Data Tab Box - Input and Output'!C172</f>
        <v>17.465432526374297</v>
      </c>
      <c r="D169" s="266">
        <f>'Data Tab Box - Input and Output'!D172</f>
        <v>42.010193287554976</v>
      </c>
      <c r="E169" s="266">
        <f>'Data Tab Box - Input and Output'!E172</f>
        <v>42.867525701877256</v>
      </c>
    </row>
    <row r="170" spans="1:5">
      <c r="A170" s="265">
        <f>'Data Tab Box - Input and Output'!A173</f>
        <v>117</v>
      </c>
      <c r="B170" s="266">
        <f>'Data Tab Box - Input and Output'!B173</f>
        <v>0.86101988258400386</v>
      </c>
      <c r="C170" s="266">
        <f>'Data Tab Box - Input and Output'!C173</f>
        <v>17.540553012946887</v>
      </c>
      <c r="D170" s="266">
        <f>'Data Tab Box - Input and Output'!D173</f>
        <v>42.317964385878255</v>
      </c>
      <c r="E170" s="266">
        <f>'Data Tab Box - Input and Output'!E173</f>
        <v>43.178984268462258</v>
      </c>
    </row>
    <row r="171" spans="1:5">
      <c r="A171" s="265">
        <f>'Data Tab Box - Input and Output'!A174</f>
        <v>118</v>
      </c>
      <c r="B171" s="266">
        <f>'Data Tab Box - Input and Output'!B174</f>
        <v>0.86469162581944736</v>
      </c>
      <c r="C171" s="266">
        <f>'Data Tab Box - Input and Output'!C174</f>
        <v>17.615353151914572</v>
      </c>
      <c r="D171" s="266">
        <f>'Data Tab Box - Input and Output'!D174</f>
        <v>42.62351322299925</v>
      </c>
      <c r="E171" s="266">
        <f>'Data Tab Box - Input and Output'!E174</f>
        <v>43.488204848818697</v>
      </c>
    </row>
    <row r="172" spans="1:5">
      <c r="A172" s="265">
        <f>'Data Tab Box - Input and Output'!A175</f>
        <v>119</v>
      </c>
      <c r="B172" s="266">
        <f>'Data Tab Box - Input and Output'!B175</f>
        <v>0.86834784350488625</v>
      </c>
      <c r="C172" s="266">
        <f>'Data Tab Box - Input and Output'!C175</f>
        <v>17.689837006974749</v>
      </c>
      <c r="D172" s="266">
        <f>'Data Tab Box - Input and Output'!D175</f>
        <v>42.926887252372758</v>
      </c>
      <c r="E172" s="266">
        <f>'Data Tab Box - Input and Output'!E175</f>
        <v>43.795235095877644</v>
      </c>
    </row>
    <row r="173" spans="1:5">
      <c r="A173" s="265">
        <f>'Data Tab Box - Input and Output'!A176</f>
        <v>120</v>
      </c>
      <c r="B173" s="266">
        <f>'Data Tab Box - Input and Output'!B176</f>
        <v>0.87198873093457696</v>
      </c>
      <c r="C173" s="266">
        <f>'Data Tab Box - Input and Output'!C176</f>
        <v>17.764008556629328</v>
      </c>
      <c r="D173" s="266">
        <f>'Data Tab Box - Input and Output'!D176</f>
        <v>43.228132262274002</v>
      </c>
      <c r="E173" s="266">
        <f>'Data Tab Box - Input and Output'!E176</f>
        <v>44.100120993208577</v>
      </c>
    </row>
    <row r="174" spans="1:5">
      <c r="A174" s="265">
        <f>'Data Tab Box - Input and Output'!A177</f>
        <v>121</v>
      </c>
      <c r="B174" s="266">
        <f>'Data Tab Box - Input and Output'!B177</f>
        <v>0.8756144793424796</v>
      </c>
      <c r="C174" s="266">
        <f>'Data Tab Box - Input and Output'!C177</f>
        <v>17.837871696664564</v>
      </c>
      <c r="D174" s="266">
        <f>'Data Tab Box - Input and Output'!D177</f>
        <v>43.527292456473639</v>
      </c>
      <c r="E174" s="266">
        <f>'Data Tab Box - Input and Output'!E177</f>
        <v>44.402906935816119</v>
      </c>
    </row>
    <row r="175" spans="1:5">
      <c r="A175" s="265">
        <f>'Data Tab Box - Input and Output'!A178</f>
        <v>122</v>
      </c>
      <c r="B175" s="266">
        <f>'Data Tab Box - Input and Output'!B178</f>
        <v>0.87922527601946765</v>
      </c>
      <c r="C175" s="266">
        <f>'Data Tab Box - Input and Output'!C178</f>
        <v>17.911430242538795</v>
      </c>
      <c r="D175" s="266">
        <f>'Data Tab Box - Input and Output'!D178</f>
        <v>43.824410529955983</v>
      </c>
      <c r="E175" s="266">
        <f>'Data Tab Box - Input and Output'!E178</f>
        <v>44.703635805975452</v>
      </c>
    </row>
    <row r="176" spans="1:5">
      <c r="A176" s="265">
        <f>'Data Tab Box - Input and Output'!A179</f>
        <v>123</v>
      </c>
      <c r="B176" s="266">
        <f>'Data Tab Box - Input and Output'!B179</f>
        <v>0.8828213044262222</v>
      </c>
      <c r="C176" s="266">
        <f>'Data Tab Box - Input and Output'!C179</f>
        <v>17.98468793168233</v>
      </c>
      <c r="D176" s="266">
        <f>'Data Tab Box - Input and Output'!D179</f>
        <v>44.119527740047822</v>
      </c>
      <c r="E176" s="266">
        <f>'Data Tab Box - Input and Output'!E179</f>
        <v>45.002349044474045</v>
      </c>
    </row>
    <row r="177" spans="1:5">
      <c r="A177" s="265">
        <f>'Data Tab Box - Input and Output'!A180</f>
        <v>124</v>
      </c>
      <c r="B177" s="266">
        <f>'Data Tab Box - Input and Output'!B180</f>
        <v>0.88640274430200405</v>
      </c>
      <c r="C177" s="266">
        <f>'Data Tab Box - Input and Output'!C180</f>
        <v>18.057648425713321</v>
      </c>
      <c r="D177" s="266">
        <f>'Data Tab Box - Input and Output'!D180</f>
        <v>44.412683973292815</v>
      </c>
      <c r="E177" s="266">
        <f>'Data Tab Box - Input and Output'!E180</f>
        <v>45.299086717594818</v>
      </c>
    </row>
    <row r="178" spans="1:5">
      <c r="A178" s="265">
        <f>'Data Tab Box - Input and Output'!A181</f>
        <v>125</v>
      </c>
      <c r="B178" s="266">
        <f>'Data Tab Box - Input and Output'!B181</f>
        <v>0.88996977176948622</v>
      </c>
      <c r="C178" s="266">
        <f>'Data Tab Box - Input and Output'!C181</f>
        <v>18.130315312573398</v>
      </c>
      <c r="D178" s="266">
        <f>'Data Tab Box - Input and Output'!D181</f>
        <v>44.703917808379067</v>
      </c>
      <c r="E178" s="266">
        <f>'Data Tab Box - Input and Output'!E181</f>
        <v>45.593887580148554</v>
      </c>
    </row>
    <row r="179" spans="1:5">
      <c r="A179" s="265">
        <f>'Data Tab Box - Input and Output'!A182</f>
        <v>126</v>
      </c>
      <c r="B179" s="266">
        <f>'Data Tab Box - Input and Output'!B182</f>
        <v>0.89352255943582015</v>
      </c>
      <c r="C179" s="266">
        <f>'Data Tab Box - Input and Output'!C182</f>
        <v>18.202692108586575</v>
      </c>
      <c r="D179" s="266">
        <f>'Data Tab Box - Input and Output'!D182</f>
        <v>44.993266575400405</v>
      </c>
      <c r="E179" s="266">
        <f>'Data Tab Box - Input and Output'!E182</f>
        <v>45.886789134836228</v>
      </c>
    </row>
    <row r="180" spans="1:5">
      <c r="A180" s="265">
        <f>'Data Tab Box - Input and Output'!A183</f>
        <v>127</v>
      </c>
      <c r="B180" s="266">
        <f>'Data Tab Box - Input and Output'!B183</f>
        <v>0.89706127649009926</v>
      </c>
      <c r="C180" s="266">
        <f>'Data Tab Box - Input and Output'!C183</f>
        <v>18.274782260444766</v>
      </c>
      <c r="D180" s="266">
        <f>'Data Tab Box - Input and Output'!D183</f>
        <v>45.280766411709223</v>
      </c>
      <c r="E180" s="266">
        <f>'Data Tab Box - Input and Output'!E183</f>
        <v>46.177827688199322</v>
      </c>
    </row>
    <row r="181" spans="1:5">
      <c r="A181" s="265">
        <f>'Data Tab Box - Input and Output'!A184</f>
        <v>128</v>
      </c>
      <c r="B181" s="266">
        <f>'Data Tab Box - Input and Output'!B184</f>
        <v>0.90058608879737512</v>
      </c>
      <c r="C181" s="266">
        <f>'Data Tab Box - Input and Output'!C184</f>
        <v>18.346589147123051</v>
      </c>
      <c r="D181" s="266">
        <f>'Data Tab Box - Input and Output'!D184</f>
        <v>45.56645231459769</v>
      </c>
      <c r="E181" s="266">
        <f>'Data Tab Box - Input and Output'!E184</f>
        <v>46.467038403395065</v>
      </c>
    </row>
    <row r="182" spans="1:5">
      <c r="A182" s="265">
        <f>'Data Tab Box - Input and Output'!A185</f>
        <v>129</v>
      </c>
      <c r="B182" s="266">
        <f>'Data Tab Box - Input and Output'!B185</f>
        <v>0.90409715898937615</v>
      </c>
      <c r="C182" s="266">
        <f>'Data Tab Box - Input and Output'!C185</f>
        <v>18.418116081727796</v>
      </c>
      <c r="D182" s="266">
        <f>'Data Tab Box - Input and Output'!D185</f>
        <v>45.850358191024384</v>
      </c>
      <c r="E182" s="266">
        <f>'Data Tab Box - Input and Output'!E185</f>
        <v>46.754455350013757</v>
      </c>
    </row>
    <row r="183" spans="1:5">
      <c r="A183" s="265">
        <f>'Data Tab Box - Input and Output'!A186</f>
        <v>130</v>
      </c>
      <c r="B183" s="266">
        <f>'Data Tab Box - Input and Output'!B186</f>
        <v>0.90759464655206534</v>
      </c>
      <c r="C183" s="266">
        <f>'Data Tab Box - Input and Output'!C186</f>
        <v>18.48936631328036</v>
      </c>
      <c r="D183" s="266">
        <f>'Data Tab Box - Input and Output'!D186</f>
        <v>46.132516904586595</v>
      </c>
      <c r="E183" s="266">
        <f>'Data Tab Box - Input and Output'!E186</f>
        <v>47.040111551138658</v>
      </c>
    </row>
    <row r="184" spans="1:5">
      <c r="A184" s="265">
        <f>'Data Tab Box - Input and Output'!A187</f>
        <v>131</v>
      </c>
      <c r="B184" s="266">
        <f>'Data Tab Box - Input and Output'!B187</f>
        <v>0.91107870791017609</v>
      </c>
      <c r="C184" s="266">
        <f>'Data Tab Box - Input and Output'!C187</f>
        <v>18.560343028439245</v>
      </c>
      <c r="D184" s="266">
        <f>'Data Tab Box - Input and Output'!D187</f>
        <v>46.41296031992249</v>
      </c>
      <c r="E184" s="266">
        <f>'Data Tab Box - Input and Output'!E187</f>
        <v>47.324039027832669</v>
      </c>
    </row>
    <row r="185" spans="1:5">
      <c r="A185" s="265">
        <f>'Data Tab Box - Input and Output'!A188</f>
        <v>132</v>
      </c>
      <c r="B185" s="266">
        <f>'Data Tab Box - Input and Output'!B188</f>
        <v>0.91454949650884587</v>
      </c>
      <c r="C185" s="266">
        <f>'Data Tab Box - Input and Output'!C188</f>
        <v>18.631049353163124</v>
      </c>
      <c r="D185" s="266">
        <f>'Data Tab Box - Input and Output'!D188</f>
        <v>46.691719344712837</v>
      </c>
      <c r="E185" s="266">
        <f>'Data Tab Box - Input and Output'!E188</f>
        <v>47.606268841221684</v>
      </c>
    </row>
    <row r="186" spans="1:5">
      <c r="A186" s="265">
        <f>'Data Tab Box - Input and Output'!A189</f>
        <v>133</v>
      </c>
      <c r="B186" s="266">
        <f>'Data Tab Box - Input and Output'!B189</f>
        <v>0.91800716289247486</v>
      </c>
      <c r="C186" s="266">
        <f>'Data Tab Box - Input and Output'!C189</f>
        <v>18.70148835431733</v>
      </c>
      <c r="D186" s="266">
        <f>'Data Tab Box - Input and Output'!D189</f>
        <v>46.968823969439157</v>
      </c>
      <c r="E186" s="266">
        <f>'Data Tab Box - Input and Output'!E189</f>
        <v>47.886831132331629</v>
      </c>
    </row>
    <row r="187" spans="1:5">
      <c r="A187" s="265">
        <f>'Data Tab Box - Input and Output'!A190</f>
        <v>134</v>
      </c>
      <c r="B187" s="266">
        <f>'Data Tab Box - Input and Output'!B190</f>
        <v>0.9214518547809204</v>
      </c>
      <c r="C187" s="266">
        <f>'Data Tab Box - Input and Output'!C190</f>
        <v>18.771663041226088</v>
      </c>
      <c r="D187" s="266">
        <f>'Data Tab Box - Input and Output'!D190</f>
        <v>47.244303305042962</v>
      </c>
      <c r="E187" s="266">
        <f>'Data Tab Box - Input and Output'!E190</f>
        <v>48.165755159823881</v>
      </c>
    </row>
    <row r="188" spans="1:5">
      <c r="A188" s="265">
        <f>'Data Tab Box - Input and Output'!A191</f>
        <v>135</v>
      </c>
      <c r="B188" s="266">
        <f>'Data Tab Box - Input and Output'!B191</f>
        <v>0.92488371714313689</v>
      </c>
      <c r="C188" s="266">
        <f>'Data Tab Box - Input and Output'!C191</f>
        <v>18.841576367172681</v>
      </c>
      <c r="D188" s="266">
        <f>'Data Tab Box - Input and Output'!D191</f>
        <v>47.518185618620002</v>
      </c>
      <c r="E188" s="266">
        <f>'Data Tab Box - Input and Output'!E191</f>
        <v>48.443069335763141</v>
      </c>
    </row>
    <row r="189" spans="1:5">
      <c r="A189" s="265">
        <f>'Data Tab Box - Input and Output'!A192</f>
        <v>136</v>
      </c>
      <c r="B189" s="266">
        <f>'Data Tab Box - Input and Output'!B192</f>
        <v>0.92830289226836593</v>
      </c>
      <c r="C189" s="266">
        <f>'Data Tab Box - Input and Output'!C192</f>
        <v>18.911231230849744</v>
      </c>
      <c r="D189" s="266">
        <f>'Data Tab Box - Input and Output'!D192</f>
        <v>47.790498367273344</v>
      </c>
      <c r="E189" s="266">
        <f>'Data Tab Box - Input and Output'!E192</f>
        <v>48.718801259541706</v>
      </c>
    </row>
    <row r="190" spans="1:5">
      <c r="A190" s="265">
        <f>'Data Tab Box - Input and Output'!A193</f>
        <v>137</v>
      </c>
      <c r="B190" s="266">
        <f>'Data Tab Box - Input and Output'!B193</f>
        <v>0.93170951983497552</v>
      </c>
      <c r="C190" s="266">
        <f>'Data Tab Box - Input and Output'!C193</f>
        <v>18.980630477761622</v>
      </c>
      <c r="D190" s="266">
        <f>'Data Tab Box - Input and Output'!D193</f>
        <v>48.061268230240103</v>
      </c>
      <c r="E190" s="266">
        <f>'Data Tab Box - Input and Output'!E193</f>
        <v>48.992977750075077</v>
      </c>
    </row>
    <row r="191" spans="1:5">
      <c r="A191" s="265">
        <f>'Data Tab Box - Input and Output'!A194</f>
        <v>138</v>
      </c>
      <c r="B191" s="266">
        <f>'Data Tab Box - Input and Output'!B194</f>
        <v>0.93510373697704152</v>
      </c>
      <c r="C191" s="266">
        <f>'Data Tab Box - Input and Output'!C194</f>
        <v>19.049776901580763</v>
      </c>
      <c r="D191" s="266">
        <f>'Data Tab Box - Input and Output'!D194</f>
        <v>48.330521139398222</v>
      </c>
      <c r="E191" s="266">
        <f>'Data Tab Box - Input and Output'!E194</f>
        <v>49.265624876375263</v>
      </c>
    </row>
    <row r="192" spans="1:5">
      <c r="A192" s="265">
        <f>'Data Tab Box - Input and Output'!A195</f>
        <v>139</v>
      </c>
      <c r="B192" s="266">
        <f>'Data Tab Box - Input and Output'!B195</f>
        <v>0.93848567834876195</v>
      </c>
      <c r="C192" s="266">
        <f>'Data Tab Box - Input and Output'!C195</f>
        <v>19.11867324545997</v>
      </c>
      <c r="D192" s="266">
        <f>'Data Tab Box - Input and Output'!D195</f>
        <v>48.59828230825191</v>
      </c>
      <c r="E192" s="266">
        <f>'Data Tab Box - Input and Output'!E195</f>
        <v>49.536767986600672</v>
      </c>
    </row>
    <row r="193" spans="1:5">
      <c r="A193" s="265">
        <f>'Data Tab Box - Input and Output'!A196</f>
        <v>140</v>
      </c>
      <c r="B193" s="266">
        <f>'Data Tab Box - Input and Output'!B196</f>
        <v>0.94185547618678889</v>
      </c>
      <c r="C193" s="266">
        <f>'Data Tab Box - Input and Output'!C196</f>
        <v>19.187322203302191</v>
      </c>
      <c r="D193" s="266">
        <f>'Data Tab Box - Input and Output'!D196</f>
        <v>48.86457625948762</v>
      </c>
      <c r="E193" s="266">
        <f>'Data Tab Box - Input and Output'!E196</f>
        <v>49.806431735674408</v>
      </c>
    </row>
    <row r="194" spans="1:5">
      <c r="A194" s="265">
        <f>'Data Tab Box - Input and Output'!A197</f>
        <v>141</v>
      </c>
      <c r="B194" s="266">
        <f>'Data Tab Box - Input and Output'!B197</f>
        <v>0.9452132603705633</v>
      </c>
      <c r="C194" s="266">
        <f>'Data Tab Box - Input and Output'!C197</f>
        <v>19.255726420989678</v>
      </c>
      <c r="D194" s="266">
        <f>'Data Tab Box - Input and Output'!D197</f>
        <v>49.129426851185762</v>
      </c>
      <c r="E194" s="266">
        <f>'Data Tab Box - Input and Output'!E197</f>
        <v>50.074640111556327</v>
      </c>
    </row>
    <row r="195" spans="1:5">
      <c r="A195" s="265">
        <f>'Data Tab Box - Input and Output'!A198</f>
        <v>142</v>
      </c>
      <c r="B195" s="266">
        <f>'Data Tab Box - Input and Output'!B198</f>
        <v>0.94855915848072325</v>
      </c>
      <c r="C195" s="266">
        <f>'Data Tab Box - Input and Output'!C198</f>
        <v>19.323888497573844</v>
      </c>
      <c r="D195" s="266">
        <f>'Data Tab Box - Input and Output'!D198</f>
        <v>49.392857301767265</v>
      </c>
      <c r="E195" s="266">
        <f>'Data Tab Box - Input and Output'!E198</f>
        <v>50.341416460247991</v>
      </c>
    </row>
    <row r="196" spans="1:5">
      <c r="A196" s="265">
        <f>'Data Tab Box - Input and Output'!A199</f>
        <v>143</v>
      </c>
      <c r="B196" s="266">
        <f>'Data Tab Box - Input and Output'!B199</f>
        <v>0.95189329585566762</v>
      </c>
      <c r="C196" s="266">
        <f>'Data Tab Box - Input and Output'!C199</f>
        <v>19.391810986427583</v>
      </c>
      <c r="D196" s="266">
        <f>'Data Tab Box - Input and Output'!D199</f>
        <v>49.654890213749084</v>
      </c>
      <c r="E196" s="266">
        <f>'Data Tab Box - Input and Output'!E199</f>
        <v>50.606783509604753</v>
      </c>
    </row>
    <row r="197" spans="1:5">
      <c r="A197" s="265">
        <f>'Data Tab Box - Input and Output'!A200</f>
        <v>144</v>
      </c>
      <c r="B197" s="266">
        <f>'Data Tab Box - Input and Output'!B200</f>
        <v>0.95521579564634129</v>
      </c>
      <c r="C197" s="266">
        <f>'Data Tab Box - Input and Output'!C200</f>
        <v>19.459496396361342</v>
      </c>
      <c r="D197" s="266">
        <f>'Data Tab Box - Input and Output'!D200</f>
        <v>49.915547596377287</v>
      </c>
      <c r="E197" s="266">
        <f>'Data Tab Box - Input and Output'!E200</f>
        <v>50.870763392023626</v>
      </c>
    </row>
  </sheetData>
  <sheetProtection algorithmName="SHA-512" hashValue="HNTbitVmbtikG3jdFjlpCK2fWKOB+QDtGTjfvbch7efaP2Dx18ZjI/ZVzV3GWCgViSLZ1/JP6N7a1LFU592Rhw==" saltValue="eubmLQloOAcLPIADjJCm8w==" spinCount="100000" sheet="1" objects="1" scenarios="1"/>
  <mergeCells count="4">
    <mergeCell ref="A2:H2"/>
    <mergeCell ref="A13:H13"/>
    <mergeCell ref="A24:B24"/>
    <mergeCell ref="A51:E51"/>
  </mergeCells>
  <conditionalFormatting sqref="D42">
    <cfRule type="cellIs" dxfId="9" priority="3" operator="equal">
      <formula>"Closed"</formula>
    </cfRule>
    <cfRule type="cellIs" dxfId="8" priority="4" operator="equal">
      <formula>"OPEN"</formula>
    </cfRule>
  </conditionalFormatting>
  <conditionalFormatting sqref="C42">
    <cfRule type="cellIs" dxfId="7" priority="1" operator="equal">
      <formula>"Closed"</formula>
    </cfRule>
    <cfRule type="cellIs" dxfId="6" priority="2" operator="equal">
      <formula>"OPEN"</formula>
    </cfRule>
  </conditionalFormatting>
  <dataValidations count="4">
    <dataValidation type="decimal" allowBlank="1" showInputMessage="1" showErrorMessage="1" sqref="B21" xr:uid="{D264F76F-2B8B-49EE-AC3D-B329EE64AD44}">
      <formula1>0.001</formula1>
      <formula2>0.99</formula2>
    </dataValidation>
    <dataValidation type="custom" allowBlank="1" showInputMessage="1" showErrorMessage="1" sqref="D14" xr:uid="{C4A0E029-0FD6-4CFD-BF58-F46FACA2D36E}">
      <formula1>D14&lt;D4/2</formula1>
    </dataValidation>
    <dataValidation type="custom" allowBlank="1" showInputMessage="1" showErrorMessage="1" sqref="D8" xr:uid="{9B92F99F-45B7-471D-AFDF-9F7C951AF0BF}">
      <formula1>D8&lt;5.001%</formula1>
    </dataValidation>
    <dataValidation type="custom" allowBlank="1" showInputMessage="1" showErrorMessage="1" sqref="D7" xr:uid="{C22E8F8E-E7C7-47EB-9122-55A0C6DCC19C}">
      <formula1>D7&lt;240</formula1>
    </dataValidation>
  </dataValidation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CFE2F-9702-46C0-965F-1355A215367F}">
  <dimension ref="A2:AC67"/>
  <sheetViews>
    <sheetView topLeftCell="A37"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 min="17" max="17" width="19.140625" bestFit="1" customWidth="1"/>
    <col min="18" max="18" width="12.85546875" bestFit="1" customWidth="1"/>
    <col min="19" max="19" width="11.85546875" bestFit="1" customWidth="1"/>
    <col min="26" max="26" width="14.5703125" bestFit="1" customWidth="1"/>
  </cols>
  <sheetData>
    <row r="2" spans="1:29">
      <c r="Z2" s="80"/>
    </row>
    <row r="3" spans="1:29">
      <c r="A3" s="5" t="s">
        <v>17</v>
      </c>
      <c r="B3" s="5" t="s">
        <v>18</v>
      </c>
      <c r="C3" s="124">
        <f>'Data Tab Box - Input and Output'!D19/12</f>
        <v>2</v>
      </c>
      <c r="D3" s="5" t="s">
        <v>5</v>
      </c>
      <c r="Q3" s="84"/>
    </row>
    <row r="4" spans="1:29">
      <c r="A4" s="5" t="s">
        <v>20</v>
      </c>
      <c r="B4" s="5" t="s">
        <v>21</v>
      </c>
      <c r="C4" s="5">
        <f>C3/2</f>
        <v>1</v>
      </c>
      <c r="D4" s="5" t="s">
        <v>5</v>
      </c>
    </row>
    <row r="5" spans="1:29">
      <c r="A5" s="5" t="s">
        <v>22</v>
      </c>
      <c r="B5" s="5" t="s">
        <v>23</v>
      </c>
      <c r="C5" s="263">
        <f>IF('Data Tab Box - Input and Output'!F7&lt;'Data Tab Box - Input and Output'!F20,0,'Data Tab Box - Input and Output'!F7-'Data Tab Box - Input and Output'!F20)</f>
        <v>0</v>
      </c>
      <c r="D5" s="5" t="s">
        <v>5</v>
      </c>
      <c r="R5" s="44"/>
      <c r="S5" s="11"/>
    </row>
    <row r="6" spans="1:29">
      <c r="A6" s="5" t="s">
        <v>135</v>
      </c>
      <c r="B6" s="5"/>
      <c r="C6" s="5">
        <f>PI()*C3^2/4</f>
        <v>3.1415926535897931</v>
      </c>
      <c r="D6" s="5" t="s">
        <v>32</v>
      </c>
      <c r="R6" s="44"/>
      <c r="S6" s="9"/>
    </row>
    <row r="7" spans="1:29">
      <c r="A7" s="5" t="s">
        <v>25</v>
      </c>
      <c r="B7" s="5" t="s">
        <v>26</v>
      </c>
      <c r="C7" s="5">
        <f>IF(C5&lt;C4,C5,2*C4-C5)</f>
        <v>0</v>
      </c>
      <c r="D7" s="5" t="s">
        <v>5</v>
      </c>
    </row>
    <row r="8" spans="1:29">
      <c r="A8" s="5" t="s">
        <v>27</v>
      </c>
      <c r="B8" s="6" t="s">
        <v>28</v>
      </c>
      <c r="C8" s="5">
        <f>2*ACOS((C4-C7)/C4)</f>
        <v>0</v>
      </c>
      <c r="D8" s="5" t="s">
        <v>29</v>
      </c>
      <c r="R8" s="44"/>
      <c r="S8" s="9"/>
    </row>
    <row r="9" spans="1:29">
      <c r="A9" s="5"/>
      <c r="B9" s="5"/>
      <c r="C9" s="5">
        <f>C8*180/PI()</f>
        <v>0</v>
      </c>
      <c r="D9" s="5" t="s">
        <v>9</v>
      </c>
      <c r="S9" s="9"/>
    </row>
    <row r="10" spans="1:29">
      <c r="A10" s="5" t="s">
        <v>30</v>
      </c>
      <c r="B10" s="5" t="s">
        <v>31</v>
      </c>
      <c r="C10" s="5">
        <f>C4^2*(C8-SIN(C8))/2</f>
        <v>0</v>
      </c>
      <c r="D10" s="5" t="s">
        <v>32</v>
      </c>
    </row>
    <row r="11" spans="1:29">
      <c r="A11" s="5" t="s">
        <v>35</v>
      </c>
      <c r="B11" s="5" t="s">
        <v>36</v>
      </c>
      <c r="C11" s="5">
        <f>C4*C8</f>
        <v>0</v>
      </c>
      <c r="D11" s="5" t="s">
        <v>37</v>
      </c>
      <c r="Z11" s="44"/>
      <c r="AA11" s="44"/>
      <c r="AB11" s="44"/>
      <c r="AC11" s="44"/>
    </row>
    <row r="12" spans="1:29">
      <c r="A12" s="5" t="s">
        <v>38</v>
      </c>
      <c r="B12" s="5" t="s">
        <v>33</v>
      </c>
      <c r="C12" s="5">
        <f>IF(C5&gt;C3,C6,IF(C5&lt;C4,C10,PI()*C4^2-C10))</f>
        <v>0</v>
      </c>
      <c r="D12" s="5" t="s">
        <v>32</v>
      </c>
    </row>
    <row r="13" spans="1:29">
      <c r="A13" s="5" t="s">
        <v>39</v>
      </c>
      <c r="B13" s="5" t="s">
        <v>40</v>
      </c>
      <c r="C13" s="5">
        <f>IF(C5&lt;C4,C11,2*PI()*C4-C11)</f>
        <v>0</v>
      </c>
      <c r="D13" s="5" t="s">
        <v>37</v>
      </c>
      <c r="R13" s="44"/>
    </row>
    <row r="14" spans="1:29" ht="18">
      <c r="A14" s="5" t="s">
        <v>42</v>
      </c>
      <c r="B14" s="5" t="s">
        <v>43</v>
      </c>
      <c r="C14" s="5">
        <f>IF(C5=0,0,C12/C13)</f>
        <v>0</v>
      </c>
      <c r="D14" s="5" t="s">
        <v>37</v>
      </c>
      <c r="R14" s="44"/>
    </row>
    <row r="15" spans="1:29">
      <c r="R15" s="44"/>
      <c r="S15" s="82"/>
    </row>
    <row r="16" spans="1:29">
      <c r="A16" s="10"/>
      <c r="B16" s="3"/>
      <c r="C16" s="3"/>
      <c r="D16" s="3"/>
      <c r="R16" s="44"/>
    </row>
    <row r="17" spans="1:19">
      <c r="A17" s="3"/>
      <c r="B17" s="3"/>
      <c r="C17" s="3"/>
      <c r="D17" s="3"/>
      <c r="E17" s="42"/>
    </row>
    <row r="18" spans="1:19">
      <c r="A18" s="3"/>
      <c r="B18" s="3"/>
      <c r="C18" s="3"/>
      <c r="D18" s="3"/>
    </row>
    <row r="19" spans="1:19">
      <c r="A19" s="3"/>
      <c r="B19" s="3"/>
      <c r="C19" s="3"/>
      <c r="D19" s="3"/>
    </row>
    <row r="20" spans="1:19">
      <c r="A20" s="3"/>
      <c r="B20" s="3"/>
      <c r="C20" s="3"/>
      <c r="D20" s="3"/>
    </row>
    <row r="21" spans="1:19">
      <c r="A21" s="3"/>
      <c r="B21" s="3"/>
      <c r="C21" s="3"/>
      <c r="D21" s="3"/>
      <c r="S21" s="83"/>
    </row>
    <row r="23" spans="1:19">
      <c r="A23" s="5"/>
      <c r="B23" s="5"/>
      <c r="C23" s="43"/>
      <c r="D23" s="5"/>
    </row>
    <row r="24" spans="1:19">
      <c r="A24" s="5"/>
      <c r="B24" s="5"/>
      <c r="C24" s="8"/>
      <c r="D24" s="5"/>
    </row>
    <row r="25" spans="1:19">
      <c r="A25" s="5"/>
      <c r="B25" s="5"/>
      <c r="C25" s="5"/>
      <c r="D25" s="5"/>
    </row>
    <row r="26" spans="1:19">
      <c r="A26" s="5"/>
      <c r="B26" s="5"/>
      <c r="C26" s="5"/>
      <c r="D26" s="5"/>
    </row>
    <row r="27" spans="1:19">
      <c r="A27" s="5"/>
      <c r="B27" s="5"/>
      <c r="C27" s="5"/>
      <c r="D27" s="5"/>
    </row>
    <row r="28" spans="1:19">
      <c r="A28" s="5"/>
      <c r="B28" s="5"/>
      <c r="C28" s="5"/>
      <c r="D28" s="5"/>
    </row>
    <row r="29" spans="1:19">
      <c r="A29" s="5"/>
      <c r="B29" s="5"/>
      <c r="C29" s="5"/>
      <c r="D29" s="5"/>
      <c r="K29" s="7" t="s">
        <v>44</v>
      </c>
      <c r="S29" s="83"/>
    </row>
    <row r="30" spans="1:19">
      <c r="A30" s="5"/>
      <c r="B30" s="5"/>
      <c r="C30" s="5"/>
      <c r="D30" s="5"/>
    </row>
    <row r="31" spans="1:19">
      <c r="A31" s="5"/>
      <c r="B31" s="5"/>
      <c r="C31" s="5"/>
      <c r="D31" s="5"/>
      <c r="K31" t="s">
        <v>46</v>
      </c>
      <c r="L31">
        <v>72</v>
      </c>
      <c r="M31" t="s">
        <v>4</v>
      </c>
      <c r="S31" s="81"/>
    </row>
    <row r="32" spans="1:19">
      <c r="A32" s="5"/>
      <c r="B32" s="5"/>
      <c r="C32" s="5"/>
      <c r="D32" s="5"/>
      <c r="K32" t="s">
        <v>47</v>
      </c>
      <c r="L32">
        <v>6</v>
      </c>
      <c r="M32" t="s">
        <v>4</v>
      </c>
    </row>
    <row r="33" spans="1:13">
      <c r="A33" s="5"/>
      <c r="B33" s="5"/>
      <c r="C33" s="5"/>
      <c r="D33" s="5"/>
      <c r="K33" t="s">
        <v>48</v>
      </c>
      <c r="L33">
        <f>(L31^2-(L32/2)^2)^0.5</f>
        <v>71.937472849690792</v>
      </c>
      <c r="M33" t="s">
        <v>4</v>
      </c>
    </row>
    <row r="34" spans="1:13">
      <c r="A34" s="5"/>
      <c r="B34" s="5"/>
      <c r="C34" s="5"/>
      <c r="D34" s="5"/>
      <c r="K34" t="s">
        <v>47</v>
      </c>
      <c r="L34">
        <f>180-2*ASIN(L33/L31)*180/PI()</f>
        <v>4.7760309265376861</v>
      </c>
      <c r="M34" t="s">
        <v>9</v>
      </c>
    </row>
    <row r="35" spans="1:13">
      <c r="A35" s="5"/>
      <c r="B35" s="5"/>
      <c r="C35" s="5"/>
      <c r="D35" s="5"/>
    </row>
    <row r="36" spans="1:13">
      <c r="A36" t="s">
        <v>98</v>
      </c>
      <c r="B36" t="s">
        <v>80</v>
      </c>
      <c r="C36">
        <f>'Data Tab Box - Input and Output'!P5</f>
        <v>32.200000000000003</v>
      </c>
      <c r="D36" t="s">
        <v>81</v>
      </c>
    </row>
    <row r="39" spans="1:13">
      <c r="A39" s="17" t="s">
        <v>93</v>
      </c>
      <c r="B39" s="13"/>
      <c r="C39" s="13"/>
      <c r="D39" s="13"/>
      <c r="E39" s="16"/>
      <c r="F39" s="16"/>
      <c r="G39" s="16"/>
      <c r="H39" s="16"/>
    </row>
    <row r="40" spans="1:13">
      <c r="A40" s="13"/>
      <c r="B40" s="15"/>
      <c r="C40" s="13"/>
      <c r="D40" s="13"/>
      <c r="E40" s="16"/>
      <c r="F40" s="16"/>
      <c r="G40" s="16"/>
      <c r="H40" s="16"/>
    </row>
    <row r="41" spans="1:13">
      <c r="A41" s="13" t="s">
        <v>124</v>
      </c>
      <c r="B41" s="14">
        <f>C5</f>
        <v>0</v>
      </c>
      <c r="C41" s="13" t="s">
        <v>37</v>
      </c>
      <c r="D41" s="13"/>
      <c r="E41" s="16"/>
      <c r="F41" s="16"/>
      <c r="G41" s="16"/>
      <c r="H41" s="16"/>
    </row>
    <row r="42" spans="1:13">
      <c r="A42" s="13"/>
      <c r="B42" s="13"/>
      <c r="C42" s="13"/>
      <c r="D42" s="13"/>
      <c r="E42" s="16"/>
      <c r="F42" s="16"/>
      <c r="G42" s="16"/>
      <c r="H42" s="16"/>
    </row>
    <row r="43" spans="1:13">
      <c r="A43" s="13"/>
      <c r="B43" s="13"/>
      <c r="C43" s="13"/>
      <c r="D43" s="13"/>
      <c r="E43" s="16"/>
      <c r="F43" s="16"/>
      <c r="G43" s="16"/>
      <c r="H43" s="16"/>
    </row>
    <row r="44" spans="1:13">
      <c r="A44" s="13" t="s">
        <v>97</v>
      </c>
      <c r="B44" s="15">
        <f>IF(B41&lt;=C3,L44*C12*(2*C36*B41)^0.5)</f>
        <v>0</v>
      </c>
      <c r="C44" s="13" t="s">
        <v>168</v>
      </c>
      <c r="D44" s="13">
        <f>L44*C20*(2*C36*C5)^0.5</f>
        <v>0</v>
      </c>
      <c r="E44" s="16" t="s">
        <v>123</v>
      </c>
      <c r="F44" s="16"/>
      <c r="G44" s="16"/>
      <c r="H44" s="16"/>
      <c r="I44" s="16" t="s">
        <v>100</v>
      </c>
      <c r="J44" s="16"/>
      <c r="K44" s="16"/>
      <c r="L44" s="16">
        <f>'Data Tab Box - Input and Output'!B21</f>
        <v>0.7</v>
      </c>
    </row>
    <row r="45" spans="1:13">
      <c r="A45" s="13"/>
      <c r="B45" s="13" t="b">
        <f>IF(B41&gt;C3,L44*C6*(2*C36*B41)^0.5)</f>
        <v>0</v>
      </c>
      <c r="C45" s="13"/>
      <c r="D45" s="13"/>
      <c r="E45" s="16"/>
      <c r="F45" s="16"/>
      <c r="G45" s="16"/>
      <c r="H45" s="16"/>
    </row>
    <row r="46" spans="1:13">
      <c r="A46" s="13" t="s">
        <v>53</v>
      </c>
      <c r="B46" s="13">
        <f>IF(B41&lt;=C3,B44,B45)</f>
        <v>0</v>
      </c>
      <c r="C46" s="13" t="s">
        <v>99</v>
      </c>
      <c r="D46" s="13"/>
      <c r="E46" s="16"/>
      <c r="F46" s="16"/>
      <c r="G46" s="16"/>
      <c r="H46" s="16"/>
    </row>
    <row r="47" spans="1:13">
      <c r="A47" s="13" t="s">
        <v>57</v>
      </c>
      <c r="B47" s="13" t="e">
        <f>IF(B41&lt;C3,B46/C12,B46/C6)</f>
        <v>#DIV/0!</v>
      </c>
      <c r="C47" s="13" t="s">
        <v>59</v>
      </c>
      <c r="D47" s="13"/>
      <c r="E47" s="16"/>
      <c r="F47" s="16"/>
      <c r="G47" s="16"/>
      <c r="H47" s="16"/>
    </row>
    <row r="49" spans="1:12">
      <c r="A49" s="122" t="s">
        <v>119</v>
      </c>
      <c r="B49">
        <f>IF(B41&lt;C4,C12,C6)</f>
        <v>0</v>
      </c>
      <c r="C49" s="122" t="s">
        <v>32</v>
      </c>
    </row>
    <row r="50" spans="1:12">
      <c r="H50" s="44"/>
      <c r="I50" s="44"/>
      <c r="J50" s="44"/>
      <c r="K50" s="44"/>
    </row>
    <row r="51" spans="1:12">
      <c r="A51" s="44"/>
      <c r="E51" s="11"/>
      <c r="F51" s="11"/>
      <c r="G51" s="46"/>
      <c r="I51" s="45"/>
      <c r="J51" s="11"/>
      <c r="K51" s="11"/>
      <c r="L51" s="45"/>
    </row>
    <row r="52" spans="1:12">
      <c r="A52" s="44"/>
      <c r="E52" s="11"/>
      <c r="F52" s="11"/>
      <c r="G52" s="46"/>
      <c r="I52" s="45"/>
      <c r="J52" s="11"/>
      <c r="K52" s="11"/>
      <c r="L52" s="45"/>
    </row>
    <row r="53" spans="1:12">
      <c r="A53" s="44"/>
      <c r="E53" s="11"/>
      <c r="F53" s="11"/>
      <c r="G53" s="46"/>
      <c r="I53" s="45"/>
      <c r="J53" s="11"/>
      <c r="K53" s="11"/>
      <c r="L53" s="45"/>
    </row>
    <row r="54" spans="1:12">
      <c r="A54" s="44"/>
      <c r="E54" s="11"/>
      <c r="F54" s="11"/>
      <c r="G54" s="46"/>
      <c r="I54" s="45"/>
      <c r="J54" s="11"/>
      <c r="K54" s="11"/>
      <c r="L54" s="45"/>
    </row>
    <row r="55" spans="1:12">
      <c r="A55" s="44"/>
      <c r="E55" s="11"/>
      <c r="F55" s="11"/>
      <c r="G55" s="46"/>
      <c r="I55" s="45"/>
      <c r="J55" s="11"/>
      <c r="K55" s="11"/>
      <c r="L55" s="45"/>
    </row>
    <row r="56" spans="1:12">
      <c r="A56" s="44"/>
      <c r="E56" s="11"/>
      <c r="F56" s="11"/>
      <c r="G56" s="46"/>
      <c r="I56" s="45"/>
      <c r="J56" s="11"/>
      <c r="K56" s="11"/>
      <c r="L56" s="45"/>
    </row>
    <row r="57" spans="1:12">
      <c r="A57" s="44"/>
      <c r="E57" s="11"/>
      <c r="F57" s="11"/>
      <c r="G57" s="46"/>
      <c r="I57" s="45"/>
      <c r="J57" s="11"/>
      <c r="K57" s="11"/>
      <c r="L57" s="45"/>
    </row>
    <row r="58" spans="1:12">
      <c r="A58" s="44"/>
      <c r="E58" s="11"/>
      <c r="F58" s="11"/>
      <c r="G58" s="46"/>
      <c r="I58" s="45"/>
      <c r="J58" s="11"/>
      <c r="K58" s="11"/>
      <c r="L58" s="45"/>
    </row>
    <row r="59" spans="1:12">
      <c r="A59" s="44"/>
      <c r="E59" s="11"/>
      <c r="F59" s="11"/>
      <c r="G59" s="46"/>
      <c r="I59" s="45"/>
      <c r="J59" s="11"/>
      <c r="K59" s="11"/>
      <c r="L59" s="45"/>
    </row>
    <row r="60" spans="1:12">
      <c r="A60" s="44"/>
      <c r="E60" s="11"/>
      <c r="F60" s="11"/>
      <c r="G60" s="46"/>
      <c r="I60" s="45"/>
      <c r="J60" s="11"/>
      <c r="K60" s="11"/>
      <c r="L60" s="45"/>
    </row>
    <row r="61" spans="1:12">
      <c r="A61" s="44"/>
      <c r="E61" s="11"/>
      <c r="F61" s="11"/>
      <c r="G61" s="46"/>
      <c r="I61" s="45"/>
      <c r="J61" s="11"/>
      <c r="K61" s="11"/>
      <c r="L61" s="45"/>
    </row>
    <row r="62" spans="1:12">
      <c r="A62" s="44"/>
      <c r="E62" s="11"/>
      <c r="F62" s="11"/>
      <c r="G62" s="46"/>
      <c r="I62" s="45"/>
      <c r="J62" s="11"/>
      <c r="K62" s="11"/>
      <c r="L62" s="45"/>
    </row>
    <row r="63" spans="1:12">
      <c r="A63" s="44"/>
      <c r="E63" s="11"/>
      <c r="F63" s="11"/>
      <c r="G63" s="46"/>
    </row>
    <row r="64" spans="1:12">
      <c r="A64" s="44"/>
      <c r="E64" s="11"/>
      <c r="F64" s="11"/>
      <c r="G64" s="46"/>
    </row>
    <row r="65" spans="1:7">
      <c r="A65" s="44"/>
      <c r="E65" s="11"/>
      <c r="F65" s="11"/>
      <c r="G65" s="46"/>
    </row>
    <row r="66" spans="1:7">
      <c r="A66" s="44"/>
      <c r="E66" s="11"/>
      <c r="F66" s="11"/>
      <c r="G66" s="46"/>
    </row>
    <row r="67" spans="1:7">
      <c r="A67" s="44"/>
      <c r="E67" s="11"/>
      <c r="F67" s="11"/>
      <c r="G67" s="46"/>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0DF47-1D44-46A0-8CD3-CFB6C844075A}">
  <dimension ref="A3:M70"/>
  <sheetViews>
    <sheetView workbookViewId="0">
      <selection activeCell="C17" sqref="C17"/>
    </sheetView>
  </sheetViews>
  <sheetFormatPr defaultRowHeight="15"/>
  <cols>
    <col min="1" max="1" width="20.5703125" bestFit="1" customWidth="1"/>
    <col min="2" max="2" width="13.5703125" bestFit="1" customWidth="1"/>
    <col min="3" max="3" width="16.42578125" bestFit="1" customWidth="1"/>
    <col min="4" max="4" width="12" bestFit="1" customWidth="1"/>
    <col min="9" max="9" width="12.85546875" customWidth="1"/>
  </cols>
  <sheetData>
    <row r="3" spans="1:4">
      <c r="A3" s="5" t="s">
        <v>17</v>
      </c>
      <c r="B3" s="5" t="s">
        <v>18</v>
      </c>
      <c r="C3" s="5">
        <f>'Data Tab Box - Input and Output'!D4/12</f>
        <v>2</v>
      </c>
      <c r="D3" s="5" t="s">
        <v>5</v>
      </c>
    </row>
    <row r="4" spans="1:4">
      <c r="A4" s="5" t="s">
        <v>20</v>
      </c>
      <c r="B4" s="5" t="s">
        <v>21</v>
      </c>
      <c r="C4" s="5">
        <f>C3/2</f>
        <v>1</v>
      </c>
      <c r="D4" s="5" t="s">
        <v>5</v>
      </c>
    </row>
    <row r="5" spans="1:4">
      <c r="A5" s="5" t="s">
        <v>22</v>
      </c>
      <c r="B5" s="5" t="s">
        <v>131</v>
      </c>
      <c r="C5" s="5">
        <v>1</v>
      </c>
      <c r="D5" s="5" t="s">
        <v>4</v>
      </c>
    </row>
    <row r="6" spans="1:4">
      <c r="A6" s="5" t="s">
        <v>22</v>
      </c>
      <c r="B6" s="5" t="s">
        <v>23</v>
      </c>
      <c r="C6" s="5">
        <f>C5/12</f>
        <v>8.3333333333333329E-2</v>
      </c>
      <c r="D6" s="5" t="s">
        <v>5</v>
      </c>
    </row>
    <row r="7" spans="1:4">
      <c r="A7" s="5"/>
      <c r="B7" s="5"/>
      <c r="C7" s="5"/>
      <c r="D7" s="5"/>
    </row>
    <row r="8" spans="1:4">
      <c r="A8" s="5" t="s">
        <v>25</v>
      </c>
      <c r="B8" s="5" t="s">
        <v>26</v>
      </c>
      <c r="C8" s="5">
        <f>IF(C6&lt;C4,C6,2*C4-C6)</f>
        <v>8.3333333333333329E-2</v>
      </c>
      <c r="D8" s="5" t="s">
        <v>5</v>
      </c>
    </row>
    <row r="9" spans="1:4">
      <c r="A9" s="5" t="s">
        <v>27</v>
      </c>
      <c r="B9" s="6" t="s">
        <v>28</v>
      </c>
      <c r="C9" s="5">
        <f>2*ACOS((C4-C8)/C4)</f>
        <v>0.82227572464469567</v>
      </c>
      <c r="D9" s="5" t="s">
        <v>29</v>
      </c>
    </row>
    <row r="10" spans="1:4">
      <c r="A10" s="5"/>
      <c r="B10" s="5"/>
      <c r="C10" s="5">
        <f>C9*180/PI()</f>
        <v>47.112928618202481</v>
      </c>
      <c r="D10" s="5" t="s">
        <v>9</v>
      </c>
    </row>
    <row r="11" spans="1:4">
      <c r="A11" s="5" t="s">
        <v>30</v>
      </c>
      <c r="B11" s="5" t="s">
        <v>31</v>
      </c>
      <c r="C11" s="5">
        <f>C4^2*(C9-SIN(C9))/2</f>
        <v>4.4789620958181675E-2</v>
      </c>
      <c r="D11" s="5" t="s">
        <v>32</v>
      </c>
    </row>
    <row r="12" spans="1:4">
      <c r="A12" s="5" t="s">
        <v>35</v>
      </c>
      <c r="B12" s="5" t="s">
        <v>36</v>
      </c>
      <c r="C12" s="5">
        <f>C4*C9</f>
        <v>0.82227572464469567</v>
      </c>
      <c r="D12" s="5" t="s">
        <v>37</v>
      </c>
    </row>
    <row r="13" spans="1:4">
      <c r="A13" s="5" t="s">
        <v>38</v>
      </c>
      <c r="B13" s="5" t="s">
        <v>33</v>
      </c>
      <c r="C13" s="5">
        <f>IF(C6&lt;C4,C11,PI()*C4^2-C11)</f>
        <v>4.4789620958181675E-2</v>
      </c>
      <c r="D13" s="5" t="s">
        <v>32</v>
      </c>
    </row>
    <row r="14" spans="1:4">
      <c r="A14" s="5" t="s">
        <v>39</v>
      </c>
      <c r="B14" s="5" t="s">
        <v>40</v>
      </c>
      <c r="C14" s="5">
        <f>IF(C6&lt;C4,C12,2*PI()*C4-C12)</f>
        <v>0.82227572464469567</v>
      </c>
      <c r="D14" s="5" t="s">
        <v>37</v>
      </c>
    </row>
    <row r="15" spans="1:4" ht="18">
      <c r="A15" s="5" t="s">
        <v>42</v>
      </c>
      <c r="B15" s="5" t="s">
        <v>43</v>
      </c>
      <c r="C15" s="5">
        <f>IF(C6=0,0,C13/C14)</f>
        <v>5.4470318915878509E-2</v>
      </c>
      <c r="D15" s="5" t="s">
        <v>37</v>
      </c>
    </row>
    <row r="18" spans="1:13">
      <c r="A18" s="5" t="s">
        <v>49</v>
      </c>
      <c r="B18" s="5" t="s">
        <v>36</v>
      </c>
      <c r="C18" s="43">
        <f>'Data Tab Box - Input and Output'!D8</f>
        <v>0.01</v>
      </c>
      <c r="D18" s="5" t="s">
        <v>50</v>
      </c>
    </row>
    <row r="19" spans="1:13">
      <c r="A19" s="5"/>
      <c r="B19" s="5"/>
      <c r="C19" s="8">
        <f>C18</f>
        <v>0.01</v>
      </c>
      <c r="D19" s="5" t="s">
        <v>51</v>
      </c>
    </row>
    <row r="20" spans="1:13">
      <c r="A20" s="5" t="s">
        <v>52</v>
      </c>
      <c r="B20" s="5" t="s">
        <v>16</v>
      </c>
      <c r="C20" s="5">
        <f>'Data Tab Box - Input and Output'!D10</f>
        <v>1.0999999999999999E-2</v>
      </c>
      <c r="D20" s="5"/>
    </row>
    <row r="21" spans="1:13">
      <c r="A21" s="5"/>
      <c r="B21" s="5"/>
      <c r="C21" s="5"/>
      <c r="D21" s="5"/>
    </row>
    <row r="22" spans="1:13">
      <c r="A22" s="5" t="s">
        <v>22</v>
      </c>
      <c r="B22" s="5" t="s">
        <v>23</v>
      </c>
      <c r="C22" s="5">
        <f>C6</f>
        <v>8.3333333333333329E-2</v>
      </c>
      <c r="D22" s="5" t="s">
        <v>5</v>
      </c>
    </row>
    <row r="23" spans="1:13">
      <c r="A23" s="5"/>
      <c r="B23" s="5"/>
      <c r="C23" s="5"/>
      <c r="D23" s="5"/>
      <c r="K23" s="7" t="s">
        <v>44</v>
      </c>
    </row>
    <row r="24" spans="1:13">
      <c r="A24" s="5" t="s">
        <v>53</v>
      </c>
      <c r="B24" s="5" t="s">
        <v>54</v>
      </c>
      <c r="C24" s="5">
        <f>(1.49/C20)*C13*(C15)^(2/3)*(C19^0.5)</f>
        <v>8.7178805822423946E-2</v>
      </c>
      <c r="D24" s="5" t="s">
        <v>55</v>
      </c>
    </row>
    <row r="25" spans="1:13">
      <c r="A25" s="5"/>
      <c r="B25" s="5"/>
      <c r="C25" s="5">
        <f>C24*7.48*60</f>
        <v>39.125848053103866</v>
      </c>
      <c r="D25" s="5" t="s">
        <v>56</v>
      </c>
      <c r="K25" t="s">
        <v>46</v>
      </c>
      <c r="L25">
        <v>72</v>
      </c>
      <c r="M25" t="s">
        <v>4</v>
      </c>
    </row>
    <row r="26" spans="1:13">
      <c r="A26" s="5"/>
      <c r="B26" s="5"/>
      <c r="C26" s="5"/>
      <c r="D26" s="5"/>
      <c r="K26" t="s">
        <v>47</v>
      </c>
      <c r="L26">
        <v>6</v>
      </c>
      <c r="M26" t="s">
        <v>4</v>
      </c>
    </row>
    <row r="27" spans="1:13">
      <c r="A27" s="5" t="s">
        <v>57</v>
      </c>
      <c r="B27" s="5" t="s">
        <v>58</v>
      </c>
      <c r="C27" s="5">
        <f>IF(C24=0,0,C24/C13)</f>
        <v>1.946406420894238</v>
      </c>
      <c r="D27" s="5" t="s">
        <v>59</v>
      </c>
      <c r="K27" t="s">
        <v>48</v>
      </c>
      <c r="L27">
        <f>(L25^2-(L26/2)^2)^0.5</f>
        <v>71.937472849690792</v>
      </c>
      <c r="M27" t="s">
        <v>4</v>
      </c>
    </row>
    <row r="28" spans="1:13">
      <c r="A28" s="5"/>
      <c r="B28" s="5"/>
      <c r="C28" s="5"/>
      <c r="D28" s="5"/>
      <c r="K28" t="s">
        <v>47</v>
      </c>
      <c r="L28">
        <f>180-2*ASIN(L27/L25)*180/PI()</f>
        <v>4.7760309265376861</v>
      </c>
      <c r="M28" t="s">
        <v>9</v>
      </c>
    </row>
    <row r="29" spans="1:13">
      <c r="A29" s="5"/>
      <c r="B29" s="5"/>
      <c r="C29" s="5"/>
      <c r="D29" s="5"/>
    </row>
    <row r="30" spans="1:13">
      <c r="A30" s="5"/>
      <c r="B30" s="5"/>
      <c r="C30" s="5"/>
      <c r="D30" s="5"/>
    </row>
    <row r="31" spans="1:13">
      <c r="A31" t="s">
        <v>98</v>
      </c>
      <c r="B31" t="s">
        <v>80</v>
      </c>
      <c r="C31">
        <f>'Data Tab Box - Input and Output'!P5</f>
        <v>32.200000000000003</v>
      </c>
      <c r="D31" t="s">
        <v>81</v>
      </c>
    </row>
    <row r="33" spans="1:11" ht="18.75">
      <c r="A33" s="123" t="s">
        <v>127</v>
      </c>
    </row>
    <row r="34" spans="1:11" ht="45">
      <c r="A34" s="53" t="s">
        <v>128</v>
      </c>
      <c r="B34" s="53" t="s">
        <v>129</v>
      </c>
      <c r="C34" s="53" t="s">
        <v>130</v>
      </c>
      <c r="D34" s="53" t="s">
        <v>126</v>
      </c>
      <c r="E34" s="53" t="str">
        <f>A8</f>
        <v>circular segment height</v>
      </c>
      <c r="F34" s="53" t="str">
        <f>A9</f>
        <v>central angle</v>
      </c>
      <c r="G34" s="53" t="str">
        <f>A11</f>
        <v>circular segment area</v>
      </c>
      <c r="H34" s="53" t="str">
        <f>A12</f>
        <v>arc length</v>
      </c>
      <c r="I34" s="53" t="str">
        <f>A13</f>
        <v>flow area</v>
      </c>
      <c r="J34" s="53" t="str">
        <f>A14</f>
        <v>wetted perimeter</v>
      </c>
      <c r="K34" s="53" t="str">
        <f>A15</f>
        <v>hydraulic radius</v>
      </c>
    </row>
    <row r="35" spans="1:11">
      <c r="A35" s="52">
        <v>1</v>
      </c>
      <c r="B35" s="9">
        <f>C24</f>
        <v>8.7178805822423946E-2</v>
      </c>
      <c r="C35" s="9">
        <f>C27</f>
        <v>1.946406420894238</v>
      </c>
      <c r="D35" s="52">
        <f t="shared" ref="D35" si="0">A35/12</f>
        <v>8.3333333333333329E-2</v>
      </c>
      <c r="E35" s="9">
        <f>C8</f>
        <v>8.3333333333333329E-2</v>
      </c>
      <c r="F35" s="9">
        <f>C10</f>
        <v>47.112928618202481</v>
      </c>
      <c r="G35" s="9">
        <f>C11</f>
        <v>4.4789620958181675E-2</v>
      </c>
      <c r="H35" s="9">
        <f>C12</f>
        <v>0.82227572464469567</v>
      </c>
      <c r="I35" s="9">
        <f>C13</f>
        <v>4.4789620958181675E-2</v>
      </c>
      <c r="J35" s="9">
        <f>C14</f>
        <v>0.82227572464469567</v>
      </c>
      <c r="K35" s="9">
        <f>C15</f>
        <v>5.4470318915878509E-2</v>
      </c>
    </row>
    <row r="36" spans="1:11">
      <c r="A36" s="52">
        <v>3</v>
      </c>
      <c r="B36" s="9">
        <f t="dataTable" ref="B36:K70" dt2D="0" dtr="0" r1="C5"/>
        <v>0.89275605328542229</v>
      </c>
      <c r="C36" s="9">
        <v>3.9388171405302583</v>
      </c>
      <c r="D36" s="52">
        <v>8.3333333333333329E-2</v>
      </c>
      <c r="E36" s="9">
        <v>0.25</v>
      </c>
      <c r="F36" s="9">
        <v>82.819244218541712</v>
      </c>
      <c r="G36" s="9">
        <v>0.22665587698880485</v>
      </c>
      <c r="H36" s="9">
        <v>1.4454684956268311</v>
      </c>
      <c r="I36" s="9">
        <v>0.22665587698880485</v>
      </c>
      <c r="J36" s="9">
        <v>1.4454684956268311</v>
      </c>
      <c r="K36" s="9">
        <v>0.15680443930430663</v>
      </c>
    </row>
    <row r="37" spans="1:11">
      <c r="A37" s="52">
        <v>5</v>
      </c>
      <c r="B37" s="9">
        <v>2.5495479027782846</v>
      </c>
      <c r="C37" s="9">
        <v>5.3768959466465693</v>
      </c>
      <c r="D37" s="52">
        <v>8.3333333333333329E-2</v>
      </c>
      <c r="E37" s="9">
        <v>0.41666666666666669</v>
      </c>
      <c r="F37" s="9">
        <v>108.62933057469591</v>
      </c>
      <c r="G37" s="9">
        <v>0.4741672385102359</v>
      </c>
      <c r="H37" s="9">
        <v>1.8959394827657876</v>
      </c>
      <c r="I37" s="9">
        <v>0.4741672385102359</v>
      </c>
      <c r="J37" s="9">
        <v>1.8959394827657876</v>
      </c>
      <c r="K37" s="9">
        <v>0.25009618862861749</v>
      </c>
    </row>
    <row r="38" spans="1:11">
      <c r="A38" s="52">
        <v>7</v>
      </c>
      <c r="B38" s="9">
        <v>4.9705365514766227</v>
      </c>
      <c r="C38" s="9">
        <v>6.5209072236088828</v>
      </c>
      <c r="D38" s="52">
        <v>8.3333333333333329E-2</v>
      </c>
      <c r="E38" s="9">
        <v>0.58333333333333337</v>
      </c>
      <c r="F38" s="9">
        <v>130.75136329567184</v>
      </c>
      <c r="G38" s="9">
        <v>0.76224616928773992</v>
      </c>
      <c r="H38" s="9">
        <v>2.2820417909807378</v>
      </c>
      <c r="I38" s="9">
        <v>0.76224616928773992</v>
      </c>
      <c r="J38" s="9">
        <v>2.2820417909807378</v>
      </c>
      <c r="K38" s="9">
        <v>0.33401937348402128</v>
      </c>
    </row>
    <row r="39" spans="1:11">
      <c r="A39" s="52">
        <v>9</v>
      </c>
      <c r="B39" s="9">
        <v>8.0203811011595612</v>
      </c>
      <c r="C39" s="9">
        <v>7.4535074780406125</v>
      </c>
      <c r="D39" s="52">
        <v>8.3333333333333329E-2</v>
      </c>
      <c r="E39" s="9">
        <v>0.75</v>
      </c>
      <c r="F39" s="9">
        <v>151.04497562814015</v>
      </c>
      <c r="G39" s="9">
        <v>1.0760546125148545</v>
      </c>
      <c r="H39" s="9">
        <v>2.6362321433056359</v>
      </c>
      <c r="I39" s="9">
        <v>1.0760546125148545</v>
      </c>
      <c r="J39" s="9">
        <v>2.6362321433056359</v>
      </c>
      <c r="K39" s="9">
        <v>0.40817900473877211</v>
      </c>
    </row>
    <row r="40" spans="1:11">
      <c r="A40" s="52">
        <v>11</v>
      </c>
      <c r="B40" s="9">
        <v>11.532935557718137</v>
      </c>
      <c r="C40" s="9">
        <v>8.2124536204980814</v>
      </c>
      <c r="D40" s="52">
        <v>8.3333333333333329E-2</v>
      </c>
      <c r="E40" s="9">
        <v>0.91666666666666663</v>
      </c>
      <c r="F40" s="9">
        <v>170.4396163056017</v>
      </c>
      <c r="G40" s="9">
        <v>1.4043227628016328</v>
      </c>
      <c r="H40" s="9">
        <v>2.9747324803685631</v>
      </c>
      <c r="I40" s="9">
        <v>1.4043227628016328</v>
      </c>
      <c r="J40" s="9">
        <v>2.9747324803685631</v>
      </c>
      <c r="K40" s="9">
        <v>0.47208371578597891</v>
      </c>
    </row>
    <row r="41" spans="1:11">
      <c r="A41" s="52">
        <v>13</v>
      </c>
      <c r="B41" s="9">
        <v>15.316367332468284</v>
      </c>
      <c r="C41" s="9">
        <v>8.8163430527881843</v>
      </c>
      <c r="D41" s="52">
        <v>8.3333333333333329E-2</v>
      </c>
      <c r="E41" s="9">
        <v>0.91666666666666674</v>
      </c>
      <c r="F41" s="9">
        <v>170.4396163056017</v>
      </c>
      <c r="G41" s="9">
        <v>1.4043227628016328</v>
      </c>
      <c r="H41" s="9">
        <v>2.9747324803685631</v>
      </c>
      <c r="I41" s="9">
        <v>1.7372698907881603</v>
      </c>
      <c r="J41" s="9">
        <v>3.3084528268110232</v>
      </c>
      <c r="K41" s="9">
        <v>0.52510039638760497</v>
      </c>
    </row>
    <row r="42" spans="1:11">
      <c r="A42" s="52">
        <v>15</v>
      </c>
      <c r="B42" s="9">
        <v>19.152646323978018</v>
      </c>
      <c r="C42" s="9">
        <v>9.2724732941789245</v>
      </c>
      <c r="D42" s="52">
        <v>8.3333333333333329E-2</v>
      </c>
      <c r="E42" s="9">
        <v>0.75</v>
      </c>
      <c r="F42" s="9">
        <v>151.04497562814015</v>
      </c>
      <c r="G42" s="9">
        <v>1.0760546125148545</v>
      </c>
      <c r="H42" s="9">
        <v>2.6362321433056359</v>
      </c>
      <c r="I42" s="9">
        <v>2.0655380410749387</v>
      </c>
      <c r="J42" s="9">
        <v>3.6469531638739503</v>
      </c>
      <c r="K42" s="9">
        <v>0.56637361333174774</v>
      </c>
    </row>
    <row r="43" spans="1:11">
      <c r="A43" s="52">
        <v>17</v>
      </c>
      <c r="B43" s="9">
        <v>22.791188824181738</v>
      </c>
      <c r="C43" s="9">
        <v>9.5787599555376222</v>
      </c>
      <c r="D43" s="52">
        <v>8.3333333333333329E-2</v>
      </c>
      <c r="E43" s="9">
        <v>0.58333333333333326</v>
      </c>
      <c r="F43" s="9">
        <v>130.75136329567184</v>
      </c>
      <c r="G43" s="9">
        <v>0.76224616928773958</v>
      </c>
      <c r="H43" s="9">
        <v>2.2820417909807373</v>
      </c>
      <c r="I43" s="9">
        <v>2.3793464843020535</v>
      </c>
      <c r="J43" s="9">
        <v>4.0011435161988489</v>
      </c>
      <c r="K43" s="9">
        <v>0.59466661834776458</v>
      </c>
    </row>
    <row r="44" spans="1:11">
      <c r="A44" s="52">
        <v>19</v>
      </c>
      <c r="B44" s="9">
        <v>25.931008748946283</v>
      </c>
      <c r="C44" s="9">
        <v>9.7213622552864809</v>
      </c>
      <c r="D44" s="52">
        <v>8.3333333333333329E-2</v>
      </c>
      <c r="E44" s="9">
        <v>0.41666666666666674</v>
      </c>
      <c r="F44" s="9">
        <v>108.62933057469591</v>
      </c>
      <c r="G44" s="9">
        <v>0.4741672385102359</v>
      </c>
      <c r="H44" s="9">
        <v>1.8959394827657876</v>
      </c>
      <c r="I44" s="9">
        <v>2.6674254150795571</v>
      </c>
      <c r="J44" s="9">
        <v>4.3872458244137986</v>
      </c>
      <c r="K44" s="9">
        <v>0.60799543080902352</v>
      </c>
    </row>
    <row r="45" spans="1:11">
      <c r="A45" s="52">
        <v>21</v>
      </c>
      <c r="B45" s="9">
        <v>28.167514145874936</v>
      </c>
      <c r="C45" s="9">
        <v>9.6631646943369205</v>
      </c>
      <c r="D45" s="52">
        <v>8.3333333333333329E-2</v>
      </c>
      <c r="E45" s="9">
        <v>0.25</v>
      </c>
      <c r="F45" s="9">
        <v>82.819244218541712</v>
      </c>
      <c r="G45" s="9">
        <v>0.22665587698880485</v>
      </c>
      <c r="H45" s="9">
        <v>1.4454684956268311</v>
      </c>
      <c r="I45" s="9">
        <v>2.9149367766009884</v>
      </c>
      <c r="J45" s="9">
        <v>4.8377168115527551</v>
      </c>
      <c r="K45" s="9">
        <v>0.60254390452122919</v>
      </c>
    </row>
    <row r="46" spans="1:11">
      <c r="A46" s="52">
        <v>23</v>
      </c>
      <c r="B46" s="9">
        <v>28.739082472023622</v>
      </c>
      <c r="C46" s="9">
        <v>9.2802422915485288</v>
      </c>
      <c r="D46" s="52">
        <v>8.3333333333333329E-2</v>
      </c>
      <c r="E46" s="9">
        <v>8.3333333333333259E-2</v>
      </c>
      <c r="F46" s="9">
        <v>47.112928618202425</v>
      </c>
      <c r="G46" s="9">
        <v>4.4789620958181509E-2</v>
      </c>
      <c r="H46" s="9">
        <v>0.82227572464469478</v>
      </c>
      <c r="I46" s="9">
        <v>3.0968030326316116</v>
      </c>
      <c r="J46" s="9">
        <v>5.4609095825348914</v>
      </c>
      <c r="K46" s="9">
        <v>0.56708557170326035</v>
      </c>
    </row>
    <row r="47" spans="1:11">
      <c r="A47" s="52">
        <v>25</v>
      </c>
      <c r="B47" s="9" t="e">
        <v>#NUM!</v>
      </c>
      <c r="C47" s="9" t="e">
        <v>#NUM!</v>
      </c>
      <c r="D47" s="52">
        <v>8.3333333333333329E-2</v>
      </c>
      <c r="E47" s="9">
        <v>-8.3333333333333481E-2</v>
      </c>
      <c r="F47" s="9" t="e">
        <v>#NUM!</v>
      </c>
      <c r="G47" s="9" t="e">
        <v>#NUM!</v>
      </c>
      <c r="H47" s="9" t="e">
        <v>#NUM!</v>
      </c>
      <c r="I47" s="9" t="e">
        <v>#NUM!</v>
      </c>
      <c r="J47" s="9" t="e">
        <v>#NUM!</v>
      </c>
      <c r="K47" s="9" t="e">
        <v>#NUM!</v>
      </c>
    </row>
    <row r="48" spans="1:11">
      <c r="A48" s="52">
        <v>27</v>
      </c>
      <c r="B48" s="9" t="e">
        <v>#NUM!</v>
      </c>
      <c r="C48" s="9" t="e">
        <v>#NUM!</v>
      </c>
      <c r="D48" s="52">
        <v>8.3333333333333329E-2</v>
      </c>
      <c r="E48" s="9">
        <v>-0.25</v>
      </c>
      <c r="F48" s="9" t="e">
        <v>#NUM!</v>
      </c>
      <c r="G48" s="9" t="e">
        <v>#NUM!</v>
      </c>
      <c r="H48" s="9" t="e">
        <v>#NUM!</v>
      </c>
      <c r="I48" s="9" t="e">
        <v>#NUM!</v>
      </c>
      <c r="J48" s="9" t="e">
        <v>#NUM!</v>
      </c>
      <c r="K48" s="9" t="e">
        <v>#NUM!</v>
      </c>
    </row>
    <row r="49" spans="1:11">
      <c r="A49" s="52">
        <v>29</v>
      </c>
      <c r="B49" s="9" t="e">
        <v>#NUM!</v>
      </c>
      <c r="C49" s="9" t="e">
        <v>#NUM!</v>
      </c>
      <c r="D49" s="52">
        <v>8.3333333333333329E-2</v>
      </c>
      <c r="E49" s="9">
        <v>-0.41666666666666652</v>
      </c>
      <c r="F49" s="9" t="e">
        <v>#NUM!</v>
      </c>
      <c r="G49" s="9" t="e">
        <v>#NUM!</v>
      </c>
      <c r="H49" s="9" t="e">
        <v>#NUM!</v>
      </c>
      <c r="I49" s="9" t="e">
        <v>#NUM!</v>
      </c>
      <c r="J49" s="9" t="e">
        <v>#NUM!</v>
      </c>
      <c r="K49" s="9" t="e">
        <v>#NUM!</v>
      </c>
    </row>
    <row r="50" spans="1:11">
      <c r="A50" s="52">
        <v>31</v>
      </c>
      <c r="B50" s="9" t="e">
        <v>#NUM!</v>
      </c>
      <c r="C50" s="9" t="e">
        <v>#NUM!</v>
      </c>
      <c r="D50" s="52">
        <v>8.3333333333333329E-2</v>
      </c>
      <c r="E50" s="9">
        <v>-0.58333333333333348</v>
      </c>
      <c r="F50" s="9" t="e">
        <v>#NUM!</v>
      </c>
      <c r="G50" s="9" t="e">
        <v>#NUM!</v>
      </c>
      <c r="H50" s="9" t="e">
        <v>#NUM!</v>
      </c>
      <c r="I50" s="9" t="e">
        <v>#NUM!</v>
      </c>
      <c r="J50" s="9" t="e">
        <v>#NUM!</v>
      </c>
      <c r="K50" s="9" t="e">
        <v>#NUM!</v>
      </c>
    </row>
    <row r="51" spans="1:11">
      <c r="A51" s="52">
        <v>33</v>
      </c>
      <c r="B51" s="9" t="e">
        <v>#NUM!</v>
      </c>
      <c r="C51" s="9" t="e">
        <v>#NUM!</v>
      </c>
      <c r="D51" s="52">
        <v>8.3333333333333329E-2</v>
      </c>
      <c r="E51" s="9">
        <v>-0.75</v>
      </c>
      <c r="F51" s="9" t="e">
        <v>#NUM!</v>
      </c>
      <c r="G51" s="9" t="e">
        <v>#NUM!</v>
      </c>
      <c r="H51" s="9" t="e">
        <v>#NUM!</v>
      </c>
      <c r="I51" s="9" t="e">
        <v>#NUM!</v>
      </c>
      <c r="J51" s="9" t="e">
        <v>#NUM!</v>
      </c>
      <c r="K51" s="9" t="e">
        <v>#NUM!</v>
      </c>
    </row>
    <row r="52" spans="1:11">
      <c r="A52" s="52">
        <v>35</v>
      </c>
      <c r="B52" s="9" t="e">
        <v>#NUM!</v>
      </c>
      <c r="C52" s="9" t="e">
        <v>#NUM!</v>
      </c>
      <c r="D52" s="52">
        <v>8.3333333333333329E-2</v>
      </c>
      <c r="E52" s="9">
        <v>-0.91666666666666652</v>
      </c>
      <c r="F52" s="9" t="e">
        <v>#NUM!</v>
      </c>
      <c r="G52" s="9" t="e">
        <v>#NUM!</v>
      </c>
      <c r="H52" s="9" t="e">
        <v>#NUM!</v>
      </c>
      <c r="I52" s="9" t="e">
        <v>#NUM!</v>
      </c>
      <c r="J52" s="9" t="e">
        <v>#NUM!</v>
      </c>
      <c r="K52" s="9" t="e">
        <v>#NUM!</v>
      </c>
    </row>
    <row r="53" spans="1:11">
      <c r="A53" s="52">
        <v>37</v>
      </c>
      <c r="B53" s="9" t="e">
        <v>#NUM!</v>
      </c>
      <c r="C53" s="9" t="e">
        <v>#NUM!</v>
      </c>
      <c r="D53" s="52">
        <v>8.3333333333333329E-2</v>
      </c>
      <c r="E53" s="9">
        <v>-1.0833333333333335</v>
      </c>
      <c r="F53" s="9" t="e">
        <v>#NUM!</v>
      </c>
      <c r="G53" s="9" t="e">
        <v>#NUM!</v>
      </c>
      <c r="H53" s="9" t="e">
        <v>#NUM!</v>
      </c>
      <c r="I53" s="9" t="e">
        <v>#NUM!</v>
      </c>
      <c r="J53" s="9" t="e">
        <v>#NUM!</v>
      </c>
      <c r="K53" s="9" t="e">
        <v>#NUM!</v>
      </c>
    </row>
    <row r="54" spans="1:11">
      <c r="A54" s="52">
        <v>39</v>
      </c>
      <c r="B54" s="9" t="e">
        <v>#NUM!</v>
      </c>
      <c r="C54" s="9" t="e">
        <v>#NUM!</v>
      </c>
      <c r="D54" s="52">
        <v>8.3333333333333329E-2</v>
      </c>
      <c r="E54" s="9">
        <v>-1.25</v>
      </c>
      <c r="F54" s="9" t="e">
        <v>#NUM!</v>
      </c>
      <c r="G54" s="9" t="e">
        <v>#NUM!</v>
      </c>
      <c r="H54" s="9" t="e">
        <v>#NUM!</v>
      </c>
      <c r="I54" s="9" t="e">
        <v>#NUM!</v>
      </c>
      <c r="J54" s="9" t="e">
        <v>#NUM!</v>
      </c>
      <c r="K54" s="9" t="e">
        <v>#NUM!</v>
      </c>
    </row>
    <row r="55" spans="1:11">
      <c r="A55" s="52">
        <v>41</v>
      </c>
      <c r="B55" s="9" t="e">
        <v>#NUM!</v>
      </c>
      <c r="C55" s="9" t="e">
        <v>#NUM!</v>
      </c>
      <c r="D55" s="52">
        <v>8.3333333333333329E-2</v>
      </c>
      <c r="E55" s="9">
        <v>-1.4166666666666665</v>
      </c>
      <c r="F55" s="9" t="e">
        <v>#NUM!</v>
      </c>
      <c r="G55" s="9" t="e">
        <v>#NUM!</v>
      </c>
      <c r="H55" s="9" t="e">
        <v>#NUM!</v>
      </c>
      <c r="I55" s="9" t="e">
        <v>#NUM!</v>
      </c>
      <c r="J55" s="9" t="e">
        <v>#NUM!</v>
      </c>
      <c r="K55" s="9" t="e">
        <v>#NUM!</v>
      </c>
    </row>
    <row r="56" spans="1:11">
      <c r="A56" s="52">
        <v>43</v>
      </c>
      <c r="B56" s="9" t="e">
        <v>#NUM!</v>
      </c>
      <c r="C56" s="9" t="e">
        <v>#NUM!</v>
      </c>
      <c r="D56" s="52">
        <v>8.3333333333333329E-2</v>
      </c>
      <c r="E56" s="9">
        <v>-1.5833333333333335</v>
      </c>
      <c r="F56" s="9" t="e">
        <v>#NUM!</v>
      </c>
      <c r="G56" s="9" t="e">
        <v>#NUM!</v>
      </c>
      <c r="H56" s="9" t="e">
        <v>#NUM!</v>
      </c>
      <c r="I56" s="9" t="e">
        <v>#NUM!</v>
      </c>
      <c r="J56" s="9" t="e">
        <v>#NUM!</v>
      </c>
      <c r="K56" s="9" t="e">
        <v>#NUM!</v>
      </c>
    </row>
    <row r="57" spans="1:11">
      <c r="A57" s="52">
        <v>45</v>
      </c>
      <c r="B57" s="9" t="e">
        <v>#NUM!</v>
      </c>
      <c r="C57" s="9" t="e">
        <v>#NUM!</v>
      </c>
      <c r="D57" s="52">
        <v>8.3333333333333329E-2</v>
      </c>
      <c r="E57" s="9">
        <v>-1.75</v>
      </c>
      <c r="F57" s="9" t="e">
        <v>#NUM!</v>
      </c>
      <c r="G57" s="9" t="e">
        <v>#NUM!</v>
      </c>
      <c r="H57" s="9" t="e">
        <v>#NUM!</v>
      </c>
      <c r="I57" s="9" t="e">
        <v>#NUM!</v>
      </c>
      <c r="J57" s="9" t="e">
        <v>#NUM!</v>
      </c>
      <c r="K57" s="9" t="e">
        <v>#NUM!</v>
      </c>
    </row>
    <row r="58" spans="1:11">
      <c r="A58" s="52">
        <v>47</v>
      </c>
      <c r="B58" s="9" t="e">
        <v>#NUM!</v>
      </c>
      <c r="C58" s="9" t="e">
        <v>#NUM!</v>
      </c>
      <c r="D58" s="52">
        <v>8.3333333333333329E-2</v>
      </c>
      <c r="E58" s="9">
        <v>-1.9166666666666665</v>
      </c>
      <c r="F58" s="9" t="e">
        <v>#NUM!</v>
      </c>
      <c r="G58" s="9" t="e">
        <v>#NUM!</v>
      </c>
      <c r="H58" s="9" t="e">
        <v>#NUM!</v>
      </c>
      <c r="I58" s="9" t="e">
        <v>#NUM!</v>
      </c>
      <c r="J58" s="9" t="e">
        <v>#NUM!</v>
      </c>
      <c r="K58" s="9" t="e">
        <v>#NUM!</v>
      </c>
    </row>
    <row r="59" spans="1:11">
      <c r="A59" s="52">
        <v>49</v>
      </c>
      <c r="B59" s="9" t="e">
        <v>#NUM!</v>
      </c>
      <c r="C59" s="9" t="e">
        <v>#NUM!</v>
      </c>
      <c r="D59" s="52">
        <v>8.3333333333333329E-2</v>
      </c>
      <c r="E59" s="9">
        <v>-2.083333333333333</v>
      </c>
      <c r="F59" s="9" t="e">
        <v>#NUM!</v>
      </c>
      <c r="G59" s="9" t="e">
        <v>#NUM!</v>
      </c>
      <c r="H59" s="9" t="e">
        <v>#NUM!</v>
      </c>
      <c r="I59" s="9" t="e">
        <v>#NUM!</v>
      </c>
      <c r="J59" s="9" t="e">
        <v>#NUM!</v>
      </c>
      <c r="K59" s="9" t="e">
        <v>#NUM!</v>
      </c>
    </row>
    <row r="60" spans="1:11">
      <c r="A60" s="52">
        <v>51</v>
      </c>
      <c r="B60" s="9" t="e">
        <v>#NUM!</v>
      </c>
      <c r="C60" s="9" t="e">
        <v>#NUM!</v>
      </c>
      <c r="D60" s="52">
        <v>8.3333333333333329E-2</v>
      </c>
      <c r="E60" s="9">
        <v>-2.25</v>
      </c>
      <c r="F60" s="9" t="e">
        <v>#NUM!</v>
      </c>
      <c r="G60" s="9" t="e">
        <v>#NUM!</v>
      </c>
      <c r="H60" s="9" t="e">
        <v>#NUM!</v>
      </c>
      <c r="I60" s="9" t="e">
        <v>#NUM!</v>
      </c>
      <c r="J60" s="9" t="e">
        <v>#NUM!</v>
      </c>
      <c r="K60" s="9" t="e">
        <v>#NUM!</v>
      </c>
    </row>
    <row r="61" spans="1:11">
      <c r="A61" s="52">
        <v>53</v>
      </c>
      <c r="B61" s="9" t="e">
        <v>#NUM!</v>
      </c>
      <c r="C61" s="9" t="e">
        <v>#NUM!</v>
      </c>
      <c r="D61" s="52">
        <v>8.3333333333333329E-2</v>
      </c>
      <c r="E61" s="9">
        <v>-2.416666666666667</v>
      </c>
      <c r="F61" s="9" t="e">
        <v>#NUM!</v>
      </c>
      <c r="G61" s="9" t="e">
        <v>#NUM!</v>
      </c>
      <c r="H61" s="9" t="e">
        <v>#NUM!</v>
      </c>
      <c r="I61" s="9" t="e">
        <v>#NUM!</v>
      </c>
      <c r="J61" s="9" t="e">
        <v>#NUM!</v>
      </c>
      <c r="K61" s="9" t="e">
        <v>#NUM!</v>
      </c>
    </row>
    <row r="62" spans="1:11">
      <c r="A62" s="52">
        <v>55</v>
      </c>
      <c r="B62" s="9" t="e">
        <v>#NUM!</v>
      </c>
      <c r="C62" s="9" t="e">
        <v>#NUM!</v>
      </c>
      <c r="D62" s="52">
        <v>8.3333333333333329E-2</v>
      </c>
      <c r="E62" s="9">
        <v>-2.583333333333333</v>
      </c>
      <c r="F62" s="9" t="e">
        <v>#NUM!</v>
      </c>
      <c r="G62" s="9" t="e">
        <v>#NUM!</v>
      </c>
      <c r="H62" s="9" t="e">
        <v>#NUM!</v>
      </c>
      <c r="I62" s="9" t="e">
        <v>#NUM!</v>
      </c>
      <c r="J62" s="9" t="e">
        <v>#NUM!</v>
      </c>
      <c r="K62" s="9" t="e">
        <v>#NUM!</v>
      </c>
    </row>
    <row r="63" spans="1:11">
      <c r="A63" s="52">
        <v>57</v>
      </c>
      <c r="B63" s="9" t="e">
        <v>#NUM!</v>
      </c>
      <c r="C63" s="9" t="e">
        <v>#NUM!</v>
      </c>
      <c r="D63" s="52">
        <v>8.3333333333333329E-2</v>
      </c>
      <c r="E63" s="9">
        <v>-2.75</v>
      </c>
      <c r="F63" s="9" t="e">
        <v>#NUM!</v>
      </c>
      <c r="G63" s="9" t="e">
        <v>#NUM!</v>
      </c>
      <c r="H63" s="9" t="e">
        <v>#NUM!</v>
      </c>
      <c r="I63" s="9" t="e">
        <v>#NUM!</v>
      </c>
      <c r="J63" s="9" t="e">
        <v>#NUM!</v>
      </c>
      <c r="K63" s="9" t="e">
        <v>#NUM!</v>
      </c>
    </row>
    <row r="64" spans="1:11">
      <c r="A64" s="52">
        <v>59</v>
      </c>
      <c r="B64" s="9" t="e">
        <v>#NUM!</v>
      </c>
      <c r="C64" s="9" t="e">
        <v>#NUM!</v>
      </c>
      <c r="D64" s="52">
        <v>8.3333333333333329E-2</v>
      </c>
      <c r="E64" s="9">
        <v>-2.916666666666667</v>
      </c>
      <c r="F64" s="9" t="e">
        <v>#NUM!</v>
      </c>
      <c r="G64" s="9" t="e">
        <v>#NUM!</v>
      </c>
      <c r="H64" s="9" t="e">
        <v>#NUM!</v>
      </c>
      <c r="I64" s="9" t="e">
        <v>#NUM!</v>
      </c>
      <c r="J64" s="9" t="e">
        <v>#NUM!</v>
      </c>
      <c r="K64" s="9" t="e">
        <v>#NUM!</v>
      </c>
    </row>
    <row r="65" spans="1:11">
      <c r="A65" s="52">
        <v>61</v>
      </c>
      <c r="B65" s="9" t="e">
        <v>#NUM!</v>
      </c>
      <c r="C65" s="9" t="e">
        <v>#NUM!</v>
      </c>
      <c r="D65" s="52">
        <v>8.3333333333333329E-2</v>
      </c>
      <c r="E65" s="9">
        <v>-3.083333333333333</v>
      </c>
      <c r="F65" s="9" t="e">
        <v>#NUM!</v>
      </c>
      <c r="G65" s="9" t="e">
        <v>#NUM!</v>
      </c>
      <c r="H65" s="9" t="e">
        <v>#NUM!</v>
      </c>
      <c r="I65" s="9" t="e">
        <v>#NUM!</v>
      </c>
      <c r="J65" s="9" t="e">
        <v>#NUM!</v>
      </c>
      <c r="K65" s="9" t="e">
        <v>#NUM!</v>
      </c>
    </row>
    <row r="66" spans="1:11">
      <c r="A66" s="52">
        <v>63</v>
      </c>
      <c r="B66" s="9" t="e">
        <v>#NUM!</v>
      </c>
      <c r="C66" s="9" t="e">
        <v>#NUM!</v>
      </c>
      <c r="D66" s="52">
        <v>8.3333333333333329E-2</v>
      </c>
      <c r="E66" s="9">
        <v>-3.25</v>
      </c>
      <c r="F66" s="9" t="e">
        <v>#NUM!</v>
      </c>
      <c r="G66" s="9" t="e">
        <v>#NUM!</v>
      </c>
      <c r="H66" s="9" t="e">
        <v>#NUM!</v>
      </c>
      <c r="I66" s="9" t="e">
        <v>#NUM!</v>
      </c>
      <c r="J66" s="9" t="e">
        <v>#NUM!</v>
      </c>
      <c r="K66" s="9" t="e">
        <v>#NUM!</v>
      </c>
    </row>
    <row r="67" spans="1:11">
      <c r="A67" s="52">
        <v>65</v>
      </c>
      <c r="B67" s="9" t="e">
        <v>#NUM!</v>
      </c>
      <c r="C67" s="9" t="e">
        <v>#NUM!</v>
      </c>
      <c r="D67" s="52">
        <v>8.3333333333333329E-2</v>
      </c>
      <c r="E67" s="9">
        <v>-3.416666666666667</v>
      </c>
      <c r="F67" s="9" t="e">
        <v>#NUM!</v>
      </c>
      <c r="G67" s="9" t="e">
        <v>#NUM!</v>
      </c>
      <c r="H67" s="9" t="e">
        <v>#NUM!</v>
      </c>
      <c r="I67" s="9" t="e">
        <v>#NUM!</v>
      </c>
      <c r="J67" s="9" t="e">
        <v>#NUM!</v>
      </c>
      <c r="K67" s="9" t="e">
        <v>#NUM!</v>
      </c>
    </row>
    <row r="68" spans="1:11">
      <c r="A68" s="52">
        <v>67</v>
      </c>
      <c r="B68" s="9" t="e">
        <v>#NUM!</v>
      </c>
      <c r="C68" s="9" t="e">
        <v>#NUM!</v>
      </c>
      <c r="D68" s="52">
        <v>8.3333333333333329E-2</v>
      </c>
      <c r="E68" s="9">
        <v>-3.583333333333333</v>
      </c>
      <c r="F68" s="9" t="e">
        <v>#NUM!</v>
      </c>
      <c r="G68" s="9" t="e">
        <v>#NUM!</v>
      </c>
      <c r="H68" s="9" t="e">
        <v>#NUM!</v>
      </c>
      <c r="I68" s="9" t="e">
        <v>#NUM!</v>
      </c>
      <c r="J68" s="9" t="e">
        <v>#NUM!</v>
      </c>
      <c r="K68" s="9" t="e">
        <v>#NUM!</v>
      </c>
    </row>
    <row r="69" spans="1:11">
      <c r="A69" s="52">
        <v>69</v>
      </c>
      <c r="B69" s="9" t="e">
        <v>#NUM!</v>
      </c>
      <c r="C69" s="9" t="e">
        <v>#NUM!</v>
      </c>
      <c r="D69" s="52">
        <v>8.3333333333333329E-2</v>
      </c>
      <c r="E69" s="9">
        <v>-3.75</v>
      </c>
      <c r="F69" s="9" t="e">
        <v>#NUM!</v>
      </c>
      <c r="G69" s="9" t="e">
        <v>#NUM!</v>
      </c>
      <c r="H69" s="9" t="e">
        <v>#NUM!</v>
      </c>
      <c r="I69" s="9" t="e">
        <v>#NUM!</v>
      </c>
      <c r="J69" s="9" t="e">
        <v>#NUM!</v>
      </c>
      <c r="K69" s="9" t="e">
        <v>#NUM!</v>
      </c>
    </row>
    <row r="70" spans="1:11">
      <c r="A70" s="52">
        <v>71</v>
      </c>
      <c r="B70" s="9" t="e">
        <v>#NUM!</v>
      </c>
      <c r="C70" s="9" t="e">
        <v>#NUM!</v>
      </c>
      <c r="D70" s="52">
        <v>8.3333333333333329E-2</v>
      </c>
      <c r="E70" s="9">
        <v>-3.916666666666667</v>
      </c>
      <c r="F70" s="9" t="e">
        <v>#NUM!</v>
      </c>
      <c r="G70" s="9" t="e">
        <v>#NUM!</v>
      </c>
      <c r="H70" s="9" t="e">
        <v>#NUM!</v>
      </c>
      <c r="I70" s="9" t="e">
        <v>#NUM!</v>
      </c>
      <c r="J70" s="9" t="e">
        <v>#NUM!</v>
      </c>
      <c r="K70" s="9" t="e">
        <v>#NUM!</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A719-E6EE-4CFC-A7FA-084358D1DA57}">
  <dimension ref="A1:C15"/>
  <sheetViews>
    <sheetView workbookViewId="0">
      <selection activeCell="C17" sqref="C17"/>
    </sheetView>
  </sheetViews>
  <sheetFormatPr defaultRowHeight="15"/>
  <cols>
    <col min="1" max="1" width="16.85546875" bestFit="1" customWidth="1"/>
    <col min="2" max="2" width="12.5703125" bestFit="1" customWidth="1"/>
  </cols>
  <sheetData>
    <row r="1" spans="1:3">
      <c r="A1" t="s">
        <v>80</v>
      </c>
      <c r="B1">
        <f>'Data Tab Box - Input and Output'!P5</f>
        <v>32.200000000000003</v>
      </c>
      <c r="C1" t="s">
        <v>81</v>
      </c>
    </row>
    <row r="2" spans="1:3">
      <c r="A2" t="s">
        <v>75</v>
      </c>
      <c r="B2">
        <f>'Data Tab Box - Input and Output'!P4</f>
        <v>62.4</v>
      </c>
      <c r="C2" t="s">
        <v>76</v>
      </c>
    </row>
    <row r="3" spans="1:3">
      <c r="A3" t="s">
        <v>70</v>
      </c>
      <c r="B3" s="20">
        <f>'Data Tab Box - Input and Output'!D17</f>
        <v>0</v>
      </c>
      <c r="C3" t="s">
        <v>9</v>
      </c>
    </row>
    <row r="4" spans="1:3">
      <c r="A4" t="s">
        <v>71</v>
      </c>
      <c r="B4">
        <f>'Data Tab Box - Input and Output'!D15</f>
        <v>0</v>
      </c>
      <c r="C4" t="s">
        <v>7</v>
      </c>
    </row>
    <row r="5" spans="1:3">
      <c r="A5" t="s">
        <v>8</v>
      </c>
      <c r="B5">
        <f>'Data Tab Box - Input and Output'!D16</f>
        <v>0</v>
      </c>
      <c r="C5" t="s">
        <v>7</v>
      </c>
    </row>
    <row r="7" spans="1:3">
      <c r="A7" t="s">
        <v>72</v>
      </c>
      <c r="B7" s="9">
        <f>'Data Tab Box - Input and Output'!D7/12</f>
        <v>8.3333333333333329E-2</v>
      </c>
      <c r="C7" t="s">
        <v>5</v>
      </c>
    </row>
    <row r="8" spans="1:3">
      <c r="A8" t="s">
        <v>92</v>
      </c>
      <c r="B8" s="9">
        <f>B7/3</f>
        <v>2.7777777777777776E-2</v>
      </c>
    </row>
    <row r="9" spans="1:3">
      <c r="A9" t="s">
        <v>73</v>
      </c>
      <c r="B9" s="9">
        <f>'Data TabBox - Lower Orifice'!C21</f>
        <v>-3.4764108074630831E-2</v>
      </c>
      <c r="C9" t="s">
        <v>32</v>
      </c>
    </row>
    <row r="11" spans="1:3">
      <c r="A11" t="s">
        <v>74</v>
      </c>
      <c r="B11" s="9">
        <f>B2*B1*B8*B9</f>
        <v>-1.9403007520053954</v>
      </c>
      <c r="C11" t="s">
        <v>82</v>
      </c>
    </row>
    <row r="13" spans="1:3">
      <c r="A13" t="s">
        <v>83</v>
      </c>
      <c r="B13" s="9">
        <f>(B4+B5)*SIN(B3*PI()/180)*B1</f>
        <v>0</v>
      </c>
      <c r="C13" t="s">
        <v>82</v>
      </c>
    </row>
    <row r="15" spans="1:3">
      <c r="B15" s="1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4021-C805-4B88-B867-F66933A8A3CD}">
  <dimension ref="A3:E18"/>
  <sheetViews>
    <sheetView topLeftCell="A7" workbookViewId="0">
      <selection activeCell="C17" sqref="C17"/>
    </sheetView>
  </sheetViews>
  <sheetFormatPr defaultRowHeight="15"/>
  <cols>
    <col min="1" max="1" width="23.140625" bestFit="1" customWidth="1"/>
    <col min="2" max="2" width="11.5703125" bestFit="1" customWidth="1"/>
    <col min="3" max="3" width="13.5703125" bestFit="1" customWidth="1"/>
  </cols>
  <sheetData>
    <row r="3" spans="1:4">
      <c r="A3" t="s">
        <v>98</v>
      </c>
      <c r="B3" t="s">
        <v>80</v>
      </c>
      <c r="C3">
        <f>'Data Tab Box - Input and Output'!P5</f>
        <v>32.200000000000003</v>
      </c>
      <c r="D3" t="s">
        <v>81</v>
      </c>
    </row>
    <row r="4" spans="1:4">
      <c r="A4" t="s">
        <v>75</v>
      </c>
      <c r="B4" s="18" t="s">
        <v>24</v>
      </c>
      <c r="C4">
        <f>'Data Tab Box - Input and Output'!P4</f>
        <v>62.4</v>
      </c>
      <c r="D4" t="s">
        <v>76</v>
      </c>
    </row>
    <row r="5" spans="1:4">
      <c r="A5" t="s">
        <v>73</v>
      </c>
      <c r="C5" s="26">
        <f>'Data TabBox - Lower Orifice'!C21</f>
        <v>-3.4764108074630831E-2</v>
      </c>
      <c r="D5" t="s">
        <v>32</v>
      </c>
    </row>
    <row r="6" spans="1:4">
      <c r="A6" t="s">
        <v>71</v>
      </c>
      <c r="C6" s="20">
        <f>'Data Tab Box - Input and Output'!D15+'Data Tab Box - Input and Output'!D16</f>
        <v>0</v>
      </c>
      <c r="D6" t="s">
        <v>7</v>
      </c>
    </row>
    <row r="7" spans="1:4">
      <c r="A7" t="s">
        <v>106</v>
      </c>
      <c r="C7" s="20">
        <f>'Data Tab Box - Input and Output'!D4/12</f>
        <v>2</v>
      </c>
      <c r="D7" t="s">
        <v>5</v>
      </c>
    </row>
    <row r="9" spans="1:4">
      <c r="A9" s="13" t="s">
        <v>94</v>
      </c>
      <c r="B9" s="15">
        <f>'Data Tab Box - Input and Output'!D42-'Data Tab Box - Input and Output'!D43</f>
        <v>0</v>
      </c>
      <c r="C9" s="13" t="str">
        <f>'Data Tab Box - Input and Output'!D44</f>
        <v>Closed</v>
      </c>
      <c r="D9" s="13"/>
    </row>
    <row r="10" spans="1:4">
      <c r="A10" s="13" t="s">
        <v>22</v>
      </c>
      <c r="B10" s="14">
        <f>'Data Tab Box - Input and Output'!F7</f>
        <v>8.3333333333333329E-2</v>
      </c>
      <c r="C10" s="13" t="s">
        <v>37</v>
      </c>
      <c r="D10" s="13"/>
    </row>
    <row r="11" spans="1:4">
      <c r="A11" s="13" t="s">
        <v>95</v>
      </c>
      <c r="B11" s="21">
        <f>'Data Tab Box - Input and Output'!D14</f>
        <v>3</v>
      </c>
      <c r="C11" s="13" t="s">
        <v>37</v>
      </c>
      <c r="D11" s="13"/>
    </row>
    <row r="13" spans="1:4">
      <c r="A13" t="s">
        <v>102</v>
      </c>
      <c r="C13" s="9">
        <f>IF(B9&gt;0,'Data TabBox - Lower Orifice'!C32,0)</f>
        <v>0</v>
      </c>
      <c r="D13" t="s">
        <v>59</v>
      </c>
    </row>
    <row r="14" spans="1:4">
      <c r="A14" s="122" t="s">
        <v>104</v>
      </c>
      <c r="C14" s="11">
        <f>C4*C5*C13^2*B10/3</f>
        <v>0</v>
      </c>
    </row>
    <row r="15" spans="1:4">
      <c r="A15" s="122" t="s">
        <v>105</v>
      </c>
      <c r="C15" s="9">
        <f>C6*C3*(C7/2)</f>
        <v>0</v>
      </c>
      <c r="D15" s="19"/>
    </row>
    <row r="16" spans="1:4">
      <c r="A16" s="122" t="s">
        <v>103</v>
      </c>
      <c r="C16" s="11" t="str">
        <f>IFERROR(C14/C15,"Closed")</f>
        <v>Closed</v>
      </c>
    </row>
    <row r="17" spans="1:5">
      <c r="A17" s="18" t="s">
        <v>67</v>
      </c>
      <c r="C17" s="11" t="str">
        <f>IF(C16&gt;1,"Fully Open",ASIN(C16))</f>
        <v>Fully Open</v>
      </c>
      <c r="E17" t="s">
        <v>29</v>
      </c>
    </row>
    <row r="18" spans="1:5">
      <c r="C18" s="11" t="str">
        <f>IF(C16&gt;1,"Fully Open",C17*180/PI())</f>
        <v>Fully Open</v>
      </c>
      <c r="E18" t="s">
        <v>9</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0DF6C-789F-404A-AE21-7D398C111835}">
  <dimension ref="A3:H24"/>
  <sheetViews>
    <sheetView topLeftCell="A13" workbookViewId="0">
      <selection activeCell="C17" sqref="C17"/>
    </sheetView>
  </sheetViews>
  <sheetFormatPr defaultRowHeight="15"/>
  <cols>
    <col min="1" max="1" width="23.140625" bestFit="1" customWidth="1"/>
    <col min="2" max="2" width="11.5703125" bestFit="1" customWidth="1"/>
    <col min="3" max="3" width="16.140625" bestFit="1" customWidth="1"/>
    <col min="5" max="5" width="16.42578125" bestFit="1" customWidth="1"/>
    <col min="7" max="7" width="11.140625" bestFit="1" customWidth="1"/>
  </cols>
  <sheetData>
    <row r="3" spans="1:8">
      <c r="A3" t="s">
        <v>98</v>
      </c>
      <c r="B3" t="s">
        <v>80</v>
      </c>
      <c r="C3">
        <f>'Data Tab Box - Input and Output'!P5</f>
        <v>32.200000000000003</v>
      </c>
      <c r="D3" t="s">
        <v>81</v>
      </c>
    </row>
    <row r="4" spans="1:8">
      <c r="A4" t="s">
        <v>75</v>
      </c>
      <c r="B4" s="18" t="s">
        <v>24</v>
      </c>
      <c r="C4">
        <f>'Data Tab Box - Input and Output'!P4</f>
        <v>62.4</v>
      </c>
      <c r="D4" t="s">
        <v>76</v>
      </c>
    </row>
    <row r="5" spans="1:8">
      <c r="A5" t="s">
        <v>73</v>
      </c>
      <c r="C5" s="26">
        <f>PI()*C7^2/4</f>
        <v>1.227184630308513</v>
      </c>
      <c r="D5" t="s">
        <v>32</v>
      </c>
    </row>
    <row r="6" spans="1:8">
      <c r="A6" t="s">
        <v>71</v>
      </c>
      <c r="C6" s="20">
        <v>80</v>
      </c>
      <c r="D6" t="s">
        <v>7</v>
      </c>
    </row>
    <row r="7" spans="1:8">
      <c r="A7" t="s">
        <v>106</v>
      </c>
      <c r="C7" s="20">
        <v>1.25</v>
      </c>
      <c r="D7" t="s">
        <v>5</v>
      </c>
    </row>
    <row r="10" spans="1:8">
      <c r="A10" t="s">
        <v>102</v>
      </c>
      <c r="C10" s="9">
        <v>6</v>
      </c>
      <c r="D10" t="s">
        <v>59</v>
      </c>
      <c r="F10" t="s">
        <v>53</v>
      </c>
      <c r="G10" s="11">
        <f>C10*C5</f>
        <v>7.3631077818510775</v>
      </c>
      <c r="H10" t="s">
        <v>55</v>
      </c>
    </row>
    <row r="11" spans="1:8">
      <c r="A11" s="122" t="s">
        <v>104</v>
      </c>
      <c r="C11" s="11">
        <f>C4*C5*C10^2*C7/3</f>
        <v>1148.6448139687679</v>
      </c>
      <c r="G11" s="11">
        <f>G10*7.48*60</f>
        <v>3304.5627724947635</v>
      </c>
      <c r="H11" t="s">
        <v>56</v>
      </c>
    </row>
    <row r="12" spans="1:8">
      <c r="A12" s="122" t="s">
        <v>105</v>
      </c>
      <c r="C12" s="9">
        <f>C6*C3*(C7/2)</f>
        <v>1610</v>
      </c>
      <c r="D12" s="19"/>
    </row>
    <row r="13" spans="1:8">
      <c r="A13" s="122" t="s">
        <v>103</v>
      </c>
      <c r="C13" s="11">
        <f>IFERROR(C11/C12,"Closed")</f>
        <v>0.71344398383153285</v>
      </c>
    </row>
    <row r="14" spans="1:8">
      <c r="A14" s="18" t="s">
        <v>67</v>
      </c>
      <c r="C14" s="11">
        <f>IF(C13&gt;1,"Fully Open",ASIN(C13))</f>
        <v>0.79440096790944392</v>
      </c>
      <c r="E14" t="s">
        <v>29</v>
      </c>
    </row>
    <row r="15" spans="1:8">
      <c r="C15" s="11">
        <f>IF(C13&gt;1,"Fully Open",C14*180/PI())</f>
        <v>45.515822702318687</v>
      </c>
      <c r="E15" t="s">
        <v>9</v>
      </c>
    </row>
    <row r="18" spans="1:6">
      <c r="A18" t="s">
        <v>113</v>
      </c>
      <c r="C18">
        <v>0.6</v>
      </c>
    </row>
    <row r="19" spans="1:6">
      <c r="A19" t="s">
        <v>33</v>
      </c>
      <c r="C19" s="26">
        <f>C5</f>
        <v>1.227184630308513</v>
      </c>
      <c r="D19" t="s">
        <v>32</v>
      </c>
    </row>
    <row r="20" spans="1:6">
      <c r="A20" t="s">
        <v>114</v>
      </c>
      <c r="C20">
        <v>6</v>
      </c>
      <c r="D20" t="s">
        <v>37</v>
      </c>
    </row>
    <row r="21" spans="1:6">
      <c r="A21" t="s">
        <v>114</v>
      </c>
      <c r="C21" s="20">
        <f>C7/2+(C20-C7)</f>
        <v>5.375</v>
      </c>
    </row>
    <row r="22" spans="1:6">
      <c r="A22" t="s">
        <v>115</v>
      </c>
      <c r="C22">
        <v>297</v>
      </c>
      <c r="D22" t="s">
        <v>55</v>
      </c>
      <c r="E22" s="13" t="s">
        <v>101</v>
      </c>
    </row>
    <row r="23" spans="1:6">
      <c r="C23">
        <f>C22*7.48*60</f>
        <v>133293.6</v>
      </c>
      <c r="D23" t="s">
        <v>56</v>
      </c>
    </row>
    <row r="24" spans="1:6">
      <c r="A24" t="s">
        <v>116</v>
      </c>
      <c r="C24">
        <f>C22/C5</f>
        <v>242.01737266325972</v>
      </c>
      <c r="D24" t="s">
        <v>59</v>
      </c>
      <c r="E24">
        <f>C24*60/5280*60</f>
        <v>165.01184499767709</v>
      </c>
      <c r="F24" t="s">
        <v>117</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69533-08B4-46E4-AE88-F06D00F0A29F}">
  <dimension ref="A1:G16"/>
  <sheetViews>
    <sheetView workbookViewId="0">
      <selection activeCell="C17" sqref="C17"/>
    </sheetView>
  </sheetViews>
  <sheetFormatPr defaultRowHeight="15"/>
  <cols>
    <col min="1" max="1" width="13.5703125" bestFit="1" customWidth="1"/>
    <col min="5" max="5" width="13.5703125" bestFit="1" customWidth="1"/>
  </cols>
  <sheetData>
    <row r="1" spans="1:7">
      <c r="A1" t="s">
        <v>109</v>
      </c>
      <c r="E1" t="s">
        <v>110</v>
      </c>
    </row>
    <row r="2" spans="1:7">
      <c r="A2" s="4" t="s">
        <v>16</v>
      </c>
      <c r="B2" s="4">
        <v>67</v>
      </c>
      <c r="C2" s="4" t="s">
        <v>9</v>
      </c>
      <c r="E2" s="4" t="s">
        <v>41</v>
      </c>
      <c r="F2" s="4">
        <f>'Data Tab Box - Input and Output'!D14</f>
        <v>3</v>
      </c>
      <c r="G2" s="4" t="s">
        <v>4</v>
      </c>
    </row>
    <row r="3" spans="1:7">
      <c r="A3" s="4"/>
      <c r="B3" s="4">
        <f>B2*PI()/180</f>
        <v>1.1693705988362006</v>
      </c>
      <c r="C3" s="4" t="s">
        <v>19</v>
      </c>
      <c r="E3" s="4" t="s">
        <v>87</v>
      </c>
      <c r="F3" s="4">
        <f>ACOS(1-F2/B6)*2</f>
        <v>1.4454684956268311</v>
      </c>
      <c r="G3" s="4" t="s">
        <v>29</v>
      </c>
    </row>
    <row r="4" spans="1:7">
      <c r="A4" s="4"/>
      <c r="B4" s="4"/>
      <c r="C4" s="4"/>
      <c r="E4" s="4"/>
      <c r="F4" s="4">
        <f>F3*180/PI()</f>
        <v>82.819244218541712</v>
      </c>
      <c r="G4" s="4" t="s">
        <v>9</v>
      </c>
    </row>
    <row r="5" spans="1:7">
      <c r="A5" s="4" t="s">
        <v>18</v>
      </c>
      <c r="B5" s="29">
        <f>'Data Tab Box - Input and Output'!D4</f>
        <v>24</v>
      </c>
      <c r="C5" s="4" t="s">
        <v>4</v>
      </c>
      <c r="E5" s="4" t="s">
        <v>18</v>
      </c>
      <c r="F5" s="29">
        <f>'Data Tab Box - Input and Output'!D4</f>
        <v>24</v>
      </c>
      <c r="G5" s="4" t="s">
        <v>4</v>
      </c>
    </row>
    <row r="6" spans="1:7">
      <c r="A6" s="4" t="s">
        <v>24</v>
      </c>
      <c r="B6" s="4">
        <f>B5/2</f>
        <v>12</v>
      </c>
      <c r="C6" s="4" t="s">
        <v>4</v>
      </c>
      <c r="E6" s="4" t="s">
        <v>24</v>
      </c>
      <c r="F6" s="4">
        <f>F5/2</f>
        <v>12</v>
      </c>
      <c r="G6" s="4" t="s">
        <v>4</v>
      </c>
    </row>
    <row r="7" spans="1:7">
      <c r="A7" s="4"/>
      <c r="B7" s="4"/>
      <c r="C7" s="4"/>
    </row>
    <row r="8" spans="1:7">
      <c r="A8" s="4" t="s">
        <v>33</v>
      </c>
      <c r="B8" s="4">
        <f>B6^2/2*(B3-SIN(B3))</f>
        <v>17.918333667630748</v>
      </c>
      <c r="C8" s="4" t="s">
        <v>34</v>
      </c>
      <c r="E8" s="4" t="s">
        <v>111</v>
      </c>
      <c r="F8" s="4">
        <f>F6^2/2*(F3-SIN(F3))</f>
        <v>32.638446286387897</v>
      </c>
      <c r="G8" s="4"/>
    </row>
    <row r="9" spans="1:7">
      <c r="A9" s="4"/>
      <c r="B9" s="4">
        <f>B8/144</f>
        <v>0.12443287269188019</v>
      </c>
      <c r="C9" s="4" t="s">
        <v>32</v>
      </c>
      <c r="E9" s="4"/>
      <c r="F9" s="4">
        <f>F8/144</f>
        <v>0.22665587698880485</v>
      </c>
      <c r="G9" s="4" t="s">
        <v>32</v>
      </c>
    </row>
    <row r="10" spans="1:7">
      <c r="A10" s="4"/>
      <c r="B10" s="4"/>
      <c r="C10" s="4"/>
      <c r="E10" s="4"/>
      <c r="F10" s="4"/>
      <c r="G10" s="4"/>
    </row>
    <row r="11" spans="1:7">
      <c r="A11" s="4" t="s">
        <v>41</v>
      </c>
      <c r="B11" s="4">
        <f>B6*(1-COS(B3/2))</f>
        <v>1.9933701351939814</v>
      </c>
      <c r="C11" s="4" t="s">
        <v>4</v>
      </c>
    </row>
    <row r="12" spans="1:7">
      <c r="A12" s="4"/>
      <c r="B12" s="4"/>
      <c r="C12" s="4"/>
    </row>
    <row r="13" spans="1:7">
      <c r="A13" s="4"/>
      <c r="B13" s="4">
        <v>4000</v>
      </c>
      <c r="C13" s="4" t="s">
        <v>7</v>
      </c>
    </row>
    <row r="14" spans="1:7">
      <c r="A14" s="4" t="s">
        <v>45</v>
      </c>
      <c r="B14" s="4">
        <f>B13*SIN(B3)</f>
        <v>3682.0194138097609</v>
      </c>
      <c r="C14" s="4" t="s">
        <v>7</v>
      </c>
    </row>
    <row r="15" spans="1:7">
      <c r="A15" s="4"/>
      <c r="B15" s="4">
        <f>B14/2.2/B8</f>
        <v>93.404064191458019</v>
      </c>
      <c r="C15" s="4" t="s">
        <v>4</v>
      </c>
    </row>
    <row r="16" spans="1:7">
      <c r="A16" s="4"/>
      <c r="B16" s="4">
        <f>B15/12</f>
        <v>7.7836720159548349</v>
      </c>
      <c r="C16" s="4" t="s">
        <v>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569C-FCEF-4094-8886-D014330B40F3}">
  <dimension ref="A9:A11"/>
  <sheetViews>
    <sheetView zoomScaleNormal="100" workbookViewId="0">
      <selection activeCell="C17" sqref="C17"/>
    </sheetView>
  </sheetViews>
  <sheetFormatPr defaultRowHeight="15"/>
  <sheetData>
    <row r="9" spans="1:1">
      <c r="A9" t="s">
        <v>265</v>
      </c>
    </row>
    <row r="11" spans="1:1">
      <c r="A11" t="s">
        <v>266</v>
      </c>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11E7-8408-437E-BEB3-8AEFDFB81FC2}">
  <sheetPr codeName="Sheet2"/>
  <dimension ref="A2:AC372"/>
  <sheetViews>
    <sheetView topLeftCell="A10" zoomScaleNormal="100" workbookViewId="0">
      <selection activeCell="C17" sqref="C17"/>
    </sheetView>
  </sheetViews>
  <sheetFormatPr defaultRowHeight="15"/>
  <cols>
    <col min="1" max="1" width="37.42578125" bestFit="1" customWidth="1"/>
    <col min="2" max="2" width="14.140625" bestFit="1" customWidth="1"/>
    <col min="3" max="3" width="16.42578125" bestFit="1" customWidth="1"/>
    <col min="4" max="4" width="12" bestFit="1" customWidth="1"/>
    <col min="5" max="5" width="33.140625" bestFit="1" customWidth="1"/>
    <col min="8" max="8" width="10.5703125" bestFit="1" customWidth="1"/>
    <col min="9" max="9" width="12.85546875" customWidth="1"/>
    <col min="10" max="10" width="10.5703125" bestFit="1" customWidth="1"/>
    <col min="11" max="11" width="14.85546875" bestFit="1" customWidth="1"/>
    <col min="17" max="17" width="19.140625" bestFit="1" customWidth="1"/>
    <col min="18" max="18" width="12.85546875" bestFit="1" customWidth="1"/>
    <col min="19" max="19" width="11.85546875" bestFit="1" customWidth="1"/>
    <col min="26" max="26" width="14.5703125" bestFit="1" customWidth="1"/>
  </cols>
  <sheetData>
    <row r="2" spans="1:29">
      <c r="Z2" s="80" t="s">
        <v>18</v>
      </c>
    </row>
    <row r="3" spans="1:29">
      <c r="A3" s="5" t="s">
        <v>17</v>
      </c>
      <c r="B3" s="5" t="s">
        <v>18</v>
      </c>
      <c r="C3" s="5">
        <f>'Flap Gate - Inputs and Outputs'!D4/12</f>
        <v>2</v>
      </c>
      <c r="D3" s="5" t="s">
        <v>5</v>
      </c>
      <c r="Q3" s="84" t="s">
        <v>154</v>
      </c>
    </row>
    <row r="4" spans="1:29">
      <c r="A4" s="5" t="s">
        <v>20</v>
      </c>
      <c r="B4" s="5" t="s">
        <v>21</v>
      </c>
      <c r="C4" s="5">
        <f>C3/2</f>
        <v>1</v>
      </c>
      <c r="D4" s="5" t="s">
        <v>5</v>
      </c>
    </row>
    <row r="5" spans="1:29">
      <c r="A5" s="5" t="s">
        <v>22</v>
      </c>
      <c r="B5" s="5" t="s">
        <v>23</v>
      </c>
      <c r="C5" s="5">
        <f>'Flap Gate - Inputs and Outputs'!F7</f>
        <v>4</v>
      </c>
      <c r="D5" s="5" t="s">
        <v>5</v>
      </c>
      <c r="Q5" t="s">
        <v>169</v>
      </c>
      <c r="R5" s="44" t="s">
        <v>54</v>
      </c>
      <c r="S5" s="11">
        <f>'Flap Gate - Inputs and Outputs'!D25</f>
        <v>35.295622192038259</v>
      </c>
      <c r="T5" t="s">
        <v>99</v>
      </c>
    </row>
    <row r="6" spans="1:29">
      <c r="A6" s="5" t="s">
        <v>135</v>
      </c>
      <c r="B6" s="5"/>
      <c r="C6" s="5">
        <f>PI()*C3^2/4</f>
        <v>3.1415926535897931</v>
      </c>
      <c r="D6" s="5" t="s">
        <v>32</v>
      </c>
      <c r="Q6" t="s">
        <v>119</v>
      </c>
      <c r="R6" s="44" t="s">
        <v>33</v>
      </c>
      <c r="S6" s="9">
        <f>'Flap Gate - Inputs and Outputs'!D33</f>
        <v>3.1415926535897931</v>
      </c>
      <c r="T6" t="s">
        <v>37</v>
      </c>
    </row>
    <row r="7" spans="1:29">
      <c r="A7" s="5" t="s">
        <v>25</v>
      </c>
      <c r="B7" s="5" t="s">
        <v>26</v>
      </c>
      <c r="C7" s="5">
        <f>IF(C5&lt;C4,C5,2*C4-C5)</f>
        <v>-2</v>
      </c>
      <c r="D7" s="5" t="s">
        <v>5</v>
      </c>
      <c r="Q7" t="s">
        <v>113</v>
      </c>
      <c r="S7">
        <v>0.7</v>
      </c>
    </row>
    <row r="8" spans="1:29">
      <c r="A8" s="5" t="s">
        <v>27</v>
      </c>
      <c r="B8" s="6" t="s">
        <v>28</v>
      </c>
      <c r="C8" s="5" t="e">
        <f>2*ACOS((C4-C7)/C4)</f>
        <v>#NUM!</v>
      </c>
      <c r="D8" s="5" t="s">
        <v>29</v>
      </c>
      <c r="Q8" t="s">
        <v>172</v>
      </c>
      <c r="R8" s="44"/>
      <c r="S8" s="9">
        <f>(S5/(S7*S6))^2/(2*C36)</f>
        <v>4.0000000000000009</v>
      </c>
      <c r="T8" t="s">
        <v>37</v>
      </c>
    </row>
    <row r="9" spans="1:29">
      <c r="A9" s="5"/>
      <c r="B9" s="5"/>
      <c r="C9" s="5" t="e">
        <f>C8*180/PI()</f>
        <v>#NUM!</v>
      </c>
      <c r="D9" s="5" t="s">
        <v>9</v>
      </c>
      <c r="Q9" t="s">
        <v>172</v>
      </c>
      <c r="S9" s="9">
        <f>(S8*4/PI())^0.5</f>
        <v>2.2567583341910256</v>
      </c>
      <c r="T9" t="s">
        <v>37</v>
      </c>
    </row>
    <row r="10" spans="1:29">
      <c r="A10" s="5" t="s">
        <v>30</v>
      </c>
      <c r="B10" s="5" t="s">
        <v>31</v>
      </c>
      <c r="C10" s="5" t="e">
        <f>C4^2*(C8-SIN(C8))/2</f>
        <v>#NUM!</v>
      </c>
      <c r="D10" s="5" t="s">
        <v>32</v>
      </c>
    </row>
    <row r="11" spans="1:29">
      <c r="A11" s="5" t="s">
        <v>35</v>
      </c>
      <c r="B11" s="5" t="s">
        <v>36</v>
      </c>
      <c r="C11" s="5" t="e">
        <f>C4*C8</f>
        <v>#NUM!</v>
      </c>
      <c r="D11" s="5" t="s">
        <v>37</v>
      </c>
      <c r="Z11" s="44" t="s">
        <v>164</v>
      </c>
      <c r="AA11" s="44" t="s">
        <v>162</v>
      </c>
      <c r="AB11" s="44" t="s">
        <v>163</v>
      </c>
      <c r="AC11" s="44" t="s">
        <v>167</v>
      </c>
    </row>
    <row r="12" spans="1:29">
      <c r="A12" s="5" t="s">
        <v>38</v>
      </c>
      <c r="B12" s="5" t="s">
        <v>33</v>
      </c>
      <c r="C12" s="5">
        <f>IF(C5&gt;C3,C6,IF(C5&lt;C4,C10,PI()*C4^2-C10))</f>
        <v>3.1415926535897931</v>
      </c>
      <c r="D12" s="5" t="s">
        <v>32</v>
      </c>
      <c r="Q12" t="s">
        <v>171</v>
      </c>
      <c r="Z12">
        <f>AB12-SIN(AB12)</f>
        <v>0</v>
      </c>
      <c r="AA12">
        <v>0</v>
      </c>
      <c r="AB12">
        <f>AA12*PI()/180</f>
        <v>0</v>
      </c>
      <c r="AC12">
        <f>SIN(AB12)</f>
        <v>0</v>
      </c>
    </row>
    <row r="13" spans="1:29">
      <c r="A13" s="5" t="s">
        <v>39</v>
      </c>
      <c r="B13" s="5" t="s">
        <v>40</v>
      </c>
      <c r="C13" s="5" t="e">
        <f>IF(C5&lt;C4,C11,2*PI()*C4-C11)</f>
        <v>#NUM!</v>
      </c>
      <c r="D13" s="5" t="s">
        <v>37</v>
      </c>
      <c r="Q13" t="s">
        <v>170</v>
      </c>
      <c r="R13" s="44" t="s">
        <v>18</v>
      </c>
      <c r="S13">
        <f>C3</f>
        <v>2</v>
      </c>
      <c r="T13" t="s">
        <v>37</v>
      </c>
      <c r="Z13">
        <f t="shared" ref="Z13:Z76" si="0">AB13-SIN(AB13)</f>
        <v>8.8608265978382117E-7</v>
      </c>
      <c r="AA13">
        <v>1</v>
      </c>
      <c r="AB13">
        <f t="shared" ref="AB13:AB76" si="1">AA13*PI()/180</f>
        <v>1.7453292519943295E-2</v>
      </c>
      <c r="AC13">
        <f t="shared" ref="AC13:AC76" si="2">SIN(AB13)</f>
        <v>1.7452406437283512E-2</v>
      </c>
    </row>
    <row r="14" spans="1:29" ht="18">
      <c r="A14" s="5" t="s">
        <v>42</v>
      </c>
      <c r="B14" s="5" t="s">
        <v>43</v>
      </c>
      <c r="C14" s="5" t="e">
        <f>IF(C5=0,0,C12/C13)</f>
        <v>#NUM!</v>
      </c>
      <c r="D14" s="5" t="s">
        <v>37</v>
      </c>
      <c r="Q14" t="s">
        <v>159</v>
      </c>
      <c r="R14" s="44" t="s">
        <v>21</v>
      </c>
      <c r="S14">
        <f>C4</f>
        <v>1</v>
      </c>
      <c r="T14" t="s">
        <v>37</v>
      </c>
      <c r="Z14">
        <f t="shared" si="0"/>
        <v>7.0883373856217569E-6</v>
      </c>
      <c r="AA14">
        <v>2</v>
      </c>
      <c r="AB14">
        <f t="shared" si="1"/>
        <v>3.4906585039886591E-2</v>
      </c>
      <c r="AC14">
        <f t="shared" si="2"/>
        <v>3.4899496702500969E-2</v>
      </c>
    </row>
    <row r="15" spans="1:29">
      <c r="Q15" t="s">
        <v>119</v>
      </c>
      <c r="R15" s="44" t="s">
        <v>33</v>
      </c>
      <c r="S15" s="82">
        <f>'Flap Gate - Inputs and Outputs'!D33</f>
        <v>3.1415926535897931</v>
      </c>
      <c r="T15" t="s">
        <v>32</v>
      </c>
      <c r="Z15">
        <f t="shared" si="0"/>
        <v>2.3921316886055255E-5</v>
      </c>
      <c r="AA15">
        <v>3</v>
      </c>
      <c r="AB15">
        <f t="shared" si="1"/>
        <v>5.2359877559829883E-2</v>
      </c>
      <c r="AC15">
        <f t="shared" si="2"/>
        <v>5.2335956242943828E-2</v>
      </c>
    </row>
    <row r="16" spans="1:29">
      <c r="A16" s="10" t="s">
        <v>86</v>
      </c>
      <c r="B16" s="3"/>
      <c r="C16" s="3"/>
      <c r="D16" s="3"/>
      <c r="R16" s="44"/>
      <c r="Z16">
        <f t="shared" si="0"/>
        <v>5.6696335647879459E-5</v>
      </c>
      <c r="AA16">
        <v>4</v>
      </c>
      <c r="AB16">
        <f t="shared" si="1"/>
        <v>6.9813170079773182E-2</v>
      </c>
      <c r="AC16">
        <f t="shared" si="2"/>
        <v>6.9756473744125302E-2</v>
      </c>
    </row>
    <row r="17" spans="1:29">
      <c r="A17" s="3" t="s">
        <v>88</v>
      </c>
      <c r="B17" s="3" t="s">
        <v>64</v>
      </c>
      <c r="C17" s="3">
        <f>'Flap Gate - Inputs and Outputs'!D15/12</f>
        <v>0.25</v>
      </c>
      <c r="D17" s="3" t="s">
        <v>5</v>
      </c>
      <c r="E17" s="42" t="s">
        <v>125</v>
      </c>
      <c r="Q17" t="s">
        <v>155</v>
      </c>
      <c r="S17">
        <f>PI()*C3^2/4</f>
        <v>3.1415926535897931</v>
      </c>
      <c r="T17" t="s">
        <v>32</v>
      </c>
      <c r="U17" t="b">
        <f>S17-C6=0</f>
        <v>1</v>
      </c>
      <c r="V17" t="s">
        <v>160</v>
      </c>
      <c r="Z17">
        <f t="shared" si="0"/>
        <v>1.1071985205830803E-4</v>
      </c>
      <c r="AA17">
        <v>5</v>
      </c>
      <c r="AB17">
        <f t="shared" si="1"/>
        <v>8.7266462599716474E-2</v>
      </c>
      <c r="AC17">
        <f t="shared" si="2"/>
        <v>8.7155742747658166E-2</v>
      </c>
    </row>
    <row r="18" spans="1:29">
      <c r="A18" s="3" t="s">
        <v>87</v>
      </c>
      <c r="B18" s="3"/>
      <c r="C18" s="3">
        <f>2*ACOS((C4-C17)/C4)</f>
        <v>1.4454684956268311</v>
      </c>
      <c r="D18" s="3" t="s">
        <v>29</v>
      </c>
      <c r="Q18" t="s">
        <v>156</v>
      </c>
      <c r="S18">
        <f>S17/2</f>
        <v>1.5707963267948966</v>
      </c>
      <c r="T18" t="s">
        <v>32</v>
      </c>
      <c r="Z18">
        <f t="shared" si="0"/>
        <v>1.9129185200630894E-4</v>
      </c>
      <c r="AA18">
        <v>6</v>
      </c>
      <c r="AB18">
        <f t="shared" si="1"/>
        <v>0.10471975511965977</v>
      </c>
      <c r="AC18">
        <f t="shared" si="2"/>
        <v>0.10452846326765346</v>
      </c>
    </row>
    <row r="19" spans="1:29">
      <c r="A19" s="3"/>
      <c r="B19" s="3"/>
      <c r="C19" s="3">
        <f>C18*180/PI()</f>
        <v>82.819244218541712</v>
      </c>
      <c r="D19" s="3" t="s">
        <v>9</v>
      </c>
      <c r="Z19">
        <f t="shared" si="0"/>
        <v>3.0370423445559569E-4</v>
      </c>
      <c r="AA19">
        <v>7</v>
      </c>
      <c r="AB19">
        <f t="shared" si="1"/>
        <v>0.12217304763960307</v>
      </c>
      <c r="AC19">
        <f t="shared" si="2"/>
        <v>0.12186934340514748</v>
      </c>
    </row>
    <row r="20" spans="1:29">
      <c r="A20" s="3" t="s">
        <v>121</v>
      </c>
      <c r="B20" s="3"/>
      <c r="C20" s="3">
        <f>C4^2*(C18-SIN(C18))/2</f>
        <v>0.22665587698880485</v>
      </c>
      <c r="D20" s="3" t="s">
        <v>32</v>
      </c>
      <c r="Z20">
        <f t="shared" si="0"/>
        <v>4.5323919948092595E-4</v>
      </c>
      <c r="AA20">
        <v>8</v>
      </c>
      <c r="AB20">
        <f t="shared" si="1"/>
        <v>0.13962634015954636</v>
      </c>
      <c r="AC20">
        <f t="shared" si="2"/>
        <v>0.13917310096006544</v>
      </c>
    </row>
    <row r="21" spans="1:29">
      <c r="A21" s="3" t="s">
        <v>89</v>
      </c>
      <c r="B21" s="3"/>
      <c r="C21" s="3">
        <f>IF(C5&gt;C3,C6,C12-C20)</f>
        <v>3.1415926535897931</v>
      </c>
      <c r="D21" s="3" t="s">
        <v>32</v>
      </c>
      <c r="Q21" t="s">
        <v>30</v>
      </c>
      <c r="R21" t="s">
        <v>157</v>
      </c>
      <c r="S21" s="83">
        <f>S15</f>
        <v>3.1415926535897931</v>
      </c>
      <c r="T21" t="s">
        <v>32</v>
      </c>
      <c r="Z21">
        <f t="shared" si="0"/>
        <v>6.4516763925878684E-4</v>
      </c>
      <c r="AA21">
        <v>9</v>
      </c>
      <c r="AB21">
        <f t="shared" si="1"/>
        <v>0.15707963267948966</v>
      </c>
      <c r="AC21">
        <f t="shared" si="2"/>
        <v>0.15643446504023087</v>
      </c>
    </row>
    <row r="22" spans="1:29">
      <c r="Z22">
        <f t="shared" si="0"/>
        <v>8.8474753250261662E-4</v>
      </c>
      <c r="AA22">
        <v>10</v>
      </c>
      <c r="AB22">
        <f t="shared" si="1"/>
        <v>0.17453292519943295</v>
      </c>
      <c r="AC22">
        <f t="shared" si="2"/>
        <v>0.17364817766693033</v>
      </c>
    </row>
    <row r="23" spans="1:29">
      <c r="A23" s="5" t="s">
        <v>49</v>
      </c>
      <c r="B23" s="5" t="s">
        <v>36</v>
      </c>
      <c r="C23" s="43">
        <f>'Flap Gate - Inputs and Outputs'!D10</f>
        <v>0.01</v>
      </c>
      <c r="D23" s="5" t="s">
        <v>50</v>
      </c>
      <c r="Q23" t="s">
        <v>158</v>
      </c>
      <c r="S23">
        <f>(S21*2)/(S14^2)</f>
        <v>6.2831853071795862</v>
      </c>
      <c r="T23" t="s">
        <v>161</v>
      </c>
      <c r="Z23">
        <f t="shared" si="0"/>
        <v>1.1772223428314355E-3</v>
      </c>
      <c r="AA23">
        <v>11</v>
      </c>
      <c r="AB23">
        <f t="shared" si="1"/>
        <v>0.19198621771937624</v>
      </c>
      <c r="AC23">
        <f t="shared" si="2"/>
        <v>0.1908089953765448</v>
      </c>
    </row>
    <row r="24" spans="1:29">
      <c r="A24" s="5"/>
      <c r="B24" s="5"/>
      <c r="C24" s="8">
        <f>C23</f>
        <v>0.01</v>
      </c>
      <c r="D24" s="5" t="s">
        <v>51</v>
      </c>
      <c r="Q24" t="s">
        <v>165</v>
      </c>
      <c r="S24">
        <f>VLOOKUP(S23,Z12:AB371,3)</f>
        <v>6.2657320146596422</v>
      </c>
      <c r="T24" t="s">
        <v>161</v>
      </c>
      <c r="Z24">
        <f t="shared" si="0"/>
        <v>1.527819421560217E-3</v>
      </c>
      <c r="AA24">
        <v>12</v>
      </c>
      <c r="AB24">
        <f t="shared" si="1"/>
        <v>0.20943951023931953</v>
      </c>
      <c r="AC24">
        <f t="shared" si="2"/>
        <v>0.20791169081775931</v>
      </c>
    </row>
    <row r="25" spans="1:29">
      <c r="A25" s="5" t="s">
        <v>52</v>
      </c>
      <c r="B25" s="5" t="s">
        <v>16</v>
      </c>
      <c r="C25" s="5">
        <f>'Flap Gate - Inputs and Outputs'!D12</f>
        <v>1.0999999999999999E-2</v>
      </c>
      <c r="D25" s="5"/>
      <c r="S25">
        <f>S24*180/PI()</f>
        <v>359</v>
      </c>
      <c r="T25" t="s">
        <v>166</v>
      </c>
      <c r="Z25">
        <f t="shared" si="0"/>
        <v>1.9417484153978481E-3</v>
      </c>
      <c r="AA25">
        <v>13</v>
      </c>
      <c r="AB25">
        <f t="shared" si="1"/>
        <v>0.22689280275926285</v>
      </c>
      <c r="AC25">
        <f t="shared" si="2"/>
        <v>0.224951054343865</v>
      </c>
    </row>
    <row r="26" spans="1:29">
      <c r="A26" s="5"/>
      <c r="B26" s="5"/>
      <c r="C26" s="5"/>
      <c r="D26" s="5"/>
      <c r="Z26">
        <f t="shared" si="0"/>
        <v>2.4241996795384135E-3</v>
      </c>
      <c r="AA26">
        <v>14</v>
      </c>
      <c r="AB26">
        <f t="shared" si="1"/>
        <v>0.24434609527920614</v>
      </c>
      <c r="AC26">
        <f t="shared" si="2"/>
        <v>0.24192189559966773</v>
      </c>
    </row>
    <row r="27" spans="1:29">
      <c r="A27" s="5" t="s">
        <v>22</v>
      </c>
      <c r="B27" s="5" t="s">
        <v>23</v>
      </c>
      <c r="C27" s="5">
        <f>C5</f>
        <v>4</v>
      </c>
      <c r="D27" s="5" t="s">
        <v>5</v>
      </c>
      <c r="Q27" t="s">
        <v>26</v>
      </c>
      <c r="S27">
        <f>(1-COS(S24/2))*S14</f>
        <v>1.9999619230641712</v>
      </c>
      <c r="T27" t="s">
        <v>37</v>
      </c>
      <c r="Z27">
        <f t="shared" si="0"/>
        <v>2.9803426966286684E-3</v>
      </c>
      <c r="AA27">
        <v>15</v>
      </c>
      <c r="AB27">
        <f t="shared" si="1"/>
        <v>0.26179938779914941</v>
      </c>
      <c r="AC27">
        <f t="shared" si="2"/>
        <v>0.25881904510252074</v>
      </c>
    </row>
    <row r="28" spans="1:29">
      <c r="A28" s="5"/>
      <c r="B28" s="5"/>
      <c r="C28" s="5"/>
      <c r="D28" s="5"/>
      <c r="S28">
        <f>S27*12</f>
        <v>23.999543076770053</v>
      </c>
      <c r="T28" t="s">
        <v>4</v>
      </c>
      <c r="Z28">
        <f t="shared" si="0"/>
        <v>3.6153245020935643E-3</v>
      </c>
      <c r="AA28">
        <v>16</v>
      </c>
      <c r="AB28">
        <f t="shared" si="1"/>
        <v>0.27925268031909273</v>
      </c>
      <c r="AC28">
        <f t="shared" si="2"/>
        <v>0.27563735581699916</v>
      </c>
    </row>
    <row r="29" spans="1:29">
      <c r="A29" s="5" t="s">
        <v>53</v>
      </c>
      <c r="B29" s="5" t="s">
        <v>54</v>
      </c>
      <c r="C29" s="5" t="e">
        <f>(1.49/C25)*C12*(C14)^(2/3)*(C24^0.5)</f>
        <v>#NUM!</v>
      </c>
      <c r="D29" s="5" t="s">
        <v>55</v>
      </c>
      <c r="K29" s="7" t="s">
        <v>44</v>
      </c>
      <c r="S29" s="83"/>
      <c r="Z29">
        <f t="shared" si="0"/>
        <v>4.334268116299278E-3</v>
      </c>
      <c r="AA29">
        <v>17</v>
      </c>
      <c r="AB29">
        <f t="shared" si="1"/>
        <v>0.29670597283903605</v>
      </c>
      <c r="AC29">
        <f t="shared" si="2"/>
        <v>0.29237170472273677</v>
      </c>
    </row>
    <row r="30" spans="1:29">
      <c r="A30" s="5"/>
      <c r="B30" s="5"/>
      <c r="C30" s="5" t="e">
        <f>C29*7.48*60</f>
        <v>#NUM!</v>
      </c>
      <c r="D30" s="5" t="s">
        <v>56</v>
      </c>
      <c r="Z30">
        <f t="shared" si="0"/>
        <v>5.1422709840319158E-3</v>
      </c>
      <c r="AA30">
        <v>18</v>
      </c>
      <c r="AB30">
        <f t="shared" si="1"/>
        <v>0.31415926535897931</v>
      </c>
      <c r="AC30">
        <f t="shared" si="2"/>
        <v>0.3090169943749474</v>
      </c>
    </row>
    <row r="31" spans="1:29">
      <c r="A31" s="5"/>
      <c r="B31" s="5"/>
      <c r="C31" s="5"/>
      <c r="D31" s="5"/>
      <c r="K31" t="s">
        <v>46</v>
      </c>
      <c r="L31">
        <v>72</v>
      </c>
      <c r="M31" t="s">
        <v>4</v>
      </c>
      <c r="S31" s="81"/>
      <c r="Z31">
        <f t="shared" si="0"/>
        <v>6.0444034217659315E-3</v>
      </c>
      <c r="AA31">
        <v>19</v>
      </c>
      <c r="AB31">
        <f t="shared" si="1"/>
        <v>0.33161255787892258</v>
      </c>
      <c r="AC31">
        <f t="shared" si="2"/>
        <v>0.32556815445715664</v>
      </c>
    </row>
    <row r="32" spans="1:29">
      <c r="A32" s="5" t="s">
        <v>57</v>
      </c>
      <c r="B32" s="5" t="s">
        <v>58</v>
      </c>
      <c r="C32" s="5" t="e">
        <f>IF(C29=0,0,C29/C12)</f>
        <v>#NUM!</v>
      </c>
      <c r="D32" s="5" t="s">
        <v>59</v>
      </c>
      <c r="K32" t="s">
        <v>47</v>
      </c>
      <c r="L32">
        <v>6</v>
      </c>
      <c r="M32" t="s">
        <v>4</v>
      </c>
      <c r="Z32">
        <f t="shared" si="0"/>
        <v>7.0457070731971827E-3</v>
      </c>
      <c r="AA32">
        <v>20</v>
      </c>
      <c r="AB32">
        <f t="shared" si="1"/>
        <v>0.3490658503988659</v>
      </c>
      <c r="AC32">
        <f t="shared" si="2"/>
        <v>0.34202014332566871</v>
      </c>
    </row>
    <row r="33" spans="1:29">
      <c r="A33" s="5"/>
      <c r="B33" s="5"/>
      <c r="C33" s="5"/>
      <c r="D33" s="5"/>
      <c r="K33" t="s">
        <v>48</v>
      </c>
      <c r="L33">
        <f>(L31^2-(L32/2)^2)^0.5</f>
        <v>71.937472849690792</v>
      </c>
      <c r="M33" t="s">
        <v>4</v>
      </c>
      <c r="Z33">
        <f t="shared" si="0"/>
        <v>8.151193373508947E-3</v>
      </c>
      <c r="AA33">
        <v>21</v>
      </c>
      <c r="AB33">
        <f t="shared" si="1"/>
        <v>0.36651914291880922</v>
      </c>
      <c r="AC33">
        <f t="shared" si="2"/>
        <v>0.35836794954530027</v>
      </c>
    </row>
    <row r="34" spans="1:29">
      <c r="A34" s="5"/>
      <c r="B34" s="5"/>
      <c r="C34" s="5"/>
      <c r="D34" s="5"/>
      <c r="K34" t="s">
        <v>47</v>
      </c>
      <c r="L34">
        <f>180-2*ASIN(L33/L31)*180/PI()</f>
        <v>4.7760309265376861</v>
      </c>
      <c r="M34" t="s">
        <v>9</v>
      </c>
      <c r="Z34">
        <f t="shared" si="0"/>
        <v>9.3658420228404649E-3</v>
      </c>
      <c r="AA34">
        <v>22</v>
      </c>
      <c r="AB34">
        <f t="shared" si="1"/>
        <v>0.38397243543875248</v>
      </c>
      <c r="AC34">
        <f t="shared" si="2"/>
        <v>0.37460659341591201</v>
      </c>
    </row>
    <row r="35" spans="1:29">
      <c r="A35" s="5"/>
      <c r="B35" s="5"/>
      <c r="C35" s="5"/>
      <c r="D35" s="5"/>
      <c r="Z35">
        <f t="shared" si="0"/>
        <v>1.0694599469422028E-2</v>
      </c>
      <c r="AA35">
        <v>23</v>
      </c>
      <c r="AB35">
        <f t="shared" si="1"/>
        <v>0.40142572795869574</v>
      </c>
      <c r="AC35">
        <f t="shared" si="2"/>
        <v>0.39073112848927372</v>
      </c>
    </row>
    <row r="36" spans="1:29">
      <c r="A36" t="s">
        <v>98</v>
      </c>
      <c r="B36" t="s">
        <v>80</v>
      </c>
      <c r="C36">
        <f>'Flap Gate - Inputs and Outputs'!P5</f>
        <v>32.200000000000003</v>
      </c>
      <c r="D36" t="s">
        <v>81</v>
      </c>
      <c r="Z36">
        <f t="shared" si="0"/>
        <v>1.2142377402838911E-2</v>
      </c>
      <c r="AA36">
        <v>24</v>
      </c>
      <c r="AB36">
        <f t="shared" si="1"/>
        <v>0.41887902047863906</v>
      </c>
      <c r="AC36">
        <f t="shared" si="2"/>
        <v>0.40673664307580015</v>
      </c>
    </row>
    <row r="37" spans="1:29">
      <c r="Z37">
        <f t="shared" si="0"/>
        <v>1.3714051257882942E-2</v>
      </c>
      <c r="AA37">
        <v>25</v>
      </c>
      <c r="AB37">
        <f t="shared" si="1"/>
        <v>0.43633231299858238</v>
      </c>
      <c r="AC37">
        <f t="shared" si="2"/>
        <v>0.42261826174069944</v>
      </c>
    </row>
    <row r="38" spans="1:29">
      <c r="Z38">
        <f t="shared" si="0"/>
        <v>1.5414458729448299E-2</v>
      </c>
      <c r="AA38">
        <v>26</v>
      </c>
      <c r="AB38">
        <f t="shared" si="1"/>
        <v>0.4537856055185257</v>
      </c>
      <c r="AC38">
        <f t="shared" si="2"/>
        <v>0.4383711467890774</v>
      </c>
    </row>
    <row r="39" spans="1:29">
      <c r="A39" s="17" t="s">
        <v>93</v>
      </c>
      <c r="B39" s="13"/>
      <c r="C39" s="13"/>
      <c r="D39" s="13"/>
      <c r="E39" s="16"/>
      <c r="F39" s="16"/>
      <c r="G39" s="16"/>
      <c r="H39" s="16"/>
      <c r="Z39">
        <f t="shared" si="0"/>
        <v>1.7248398298922218E-2</v>
      </c>
      <c r="AA39">
        <v>27</v>
      </c>
      <c r="AB39">
        <f t="shared" si="1"/>
        <v>0.47123889803846897</v>
      </c>
      <c r="AC39">
        <f t="shared" si="2"/>
        <v>0.45399049973954675</v>
      </c>
    </row>
    <row r="40" spans="1:29">
      <c r="A40" s="13" t="s">
        <v>94</v>
      </c>
      <c r="B40" s="15">
        <f>'Flap Gate - Inputs and Outputs'!D36-'Flap Gate - Inputs and Outputs'!D37</f>
        <v>698.81136236806742</v>
      </c>
      <c r="C40" s="13" t="str">
        <f>'Flap Gate - Inputs and Outputs'!D38</f>
        <v>Open</v>
      </c>
      <c r="D40" s="13"/>
      <c r="E40" s="16"/>
      <c r="F40" s="16"/>
      <c r="G40" s="16"/>
      <c r="H40" s="16"/>
      <c r="Z40">
        <f t="shared" si="0"/>
        <v>1.9220627772521481E-2</v>
      </c>
      <c r="AA40">
        <v>28</v>
      </c>
      <c r="AB40">
        <f t="shared" si="1"/>
        <v>0.48869219055841229</v>
      </c>
      <c r="AC40">
        <f t="shared" si="2"/>
        <v>0.46947156278589081</v>
      </c>
    </row>
    <row r="41" spans="1:29">
      <c r="A41" s="13" t="s">
        <v>124</v>
      </c>
      <c r="B41" s="14">
        <f>C27</f>
        <v>4</v>
      </c>
      <c r="C41" s="13" t="s">
        <v>37</v>
      </c>
      <c r="D41" s="13"/>
      <c r="E41" s="16"/>
      <c r="F41" s="16"/>
      <c r="G41" s="16"/>
      <c r="H41" s="16"/>
      <c r="Z41">
        <f t="shared" si="0"/>
        <v>2.1335862832018548E-2</v>
      </c>
      <c r="AA41">
        <v>29</v>
      </c>
      <c r="AB41">
        <f t="shared" si="1"/>
        <v>0.50614548307835561</v>
      </c>
      <c r="AC41">
        <f t="shared" si="2"/>
        <v>0.48480962024633706</v>
      </c>
    </row>
    <row r="42" spans="1:29">
      <c r="A42" s="13" t="s">
        <v>88</v>
      </c>
      <c r="B42" s="13">
        <f>C17</f>
        <v>0.25</v>
      </c>
      <c r="C42" s="13" t="s">
        <v>37</v>
      </c>
      <c r="D42" s="13"/>
      <c r="E42" s="16"/>
      <c r="F42" s="16"/>
      <c r="G42" s="16"/>
      <c r="H42" s="16"/>
      <c r="Z42">
        <f t="shared" si="0"/>
        <v>2.3598775598298871E-2</v>
      </c>
      <c r="AA42">
        <v>30</v>
      </c>
      <c r="AB42">
        <f t="shared" si="1"/>
        <v>0.52359877559829882</v>
      </c>
      <c r="AC42">
        <f t="shared" si="2"/>
        <v>0.49999999999999994</v>
      </c>
    </row>
    <row r="43" spans="1:29">
      <c r="A43" s="13" t="s">
        <v>96</v>
      </c>
      <c r="B43" s="13" t="str">
        <f>IF(B41&gt;B42,"Above Opening",C29)</f>
        <v>Above Opening</v>
      </c>
      <c r="C43" s="13" t="s">
        <v>99</v>
      </c>
      <c r="D43" s="13" t="e">
        <f>C29</f>
        <v>#NUM!</v>
      </c>
      <c r="E43" s="16" t="s">
        <v>122</v>
      </c>
      <c r="F43" s="16"/>
      <c r="G43" s="16"/>
      <c r="H43" s="16"/>
      <c r="Z43">
        <f t="shared" si="0"/>
        <v>2.601399320818798E-2</v>
      </c>
      <c r="AA43">
        <v>31</v>
      </c>
      <c r="AB43">
        <f t="shared" si="1"/>
        <v>0.54105206811824214</v>
      </c>
      <c r="AC43">
        <f t="shared" si="2"/>
        <v>0.51503807491005416</v>
      </c>
    </row>
    <row r="44" spans="1:29">
      <c r="A44" s="13" t="s">
        <v>97</v>
      </c>
      <c r="B44" s="13">
        <f>IF(B41&lt;B42,"Below Opening",L44*C20*(2*C36*C5)^0.5)</f>
        <v>2.5464664213104347</v>
      </c>
      <c r="C44" s="13" t="s">
        <v>168</v>
      </c>
      <c r="D44" s="13">
        <f>L44*C20*(2*C36*C5)^0.5</f>
        <v>2.5464664213104347</v>
      </c>
      <c r="E44" s="16" t="s">
        <v>123</v>
      </c>
      <c r="F44" s="16"/>
      <c r="G44" s="16"/>
      <c r="H44" s="16"/>
      <c r="I44" s="16" t="s">
        <v>100</v>
      </c>
      <c r="J44" s="16"/>
      <c r="K44" s="16"/>
      <c r="L44" s="16">
        <f>'Flap Gate - Inputs and Outputs'!C20</f>
        <v>0.7</v>
      </c>
      <c r="Z44">
        <f t="shared" si="0"/>
        <v>2.8586096404980554E-2</v>
      </c>
      <c r="AA44">
        <v>32</v>
      </c>
      <c r="AB44">
        <f t="shared" si="1"/>
        <v>0.55850536063818546</v>
      </c>
      <c r="AC44">
        <f t="shared" si="2"/>
        <v>0.5299192642332049</v>
      </c>
    </row>
    <row r="45" spans="1:29">
      <c r="A45" s="13"/>
      <c r="B45" s="13"/>
      <c r="C45" s="13"/>
      <c r="D45" s="13"/>
      <c r="E45" s="16"/>
      <c r="F45" s="16"/>
      <c r="G45" s="16"/>
      <c r="H45" s="16"/>
      <c r="Z45">
        <f t="shared" si="0"/>
        <v>3.1319618143101691E-2</v>
      </c>
      <c r="AA45">
        <v>33</v>
      </c>
      <c r="AB45">
        <f t="shared" si="1"/>
        <v>0.57595865315812877</v>
      </c>
      <c r="AC45">
        <f t="shared" si="2"/>
        <v>0.54463903501502708</v>
      </c>
    </row>
    <row r="46" spans="1:29">
      <c r="A46" s="13" t="s">
        <v>53</v>
      </c>
      <c r="B46" s="13">
        <f>IF(B41&gt;C3,D59,IF(B40&lt;0,IF(B41&lt;B42,B43,B44),C29))</f>
        <v>35.295622192038259</v>
      </c>
      <c r="C46" s="13" t="s">
        <v>99</v>
      </c>
      <c r="D46" s="13"/>
      <c r="E46" s="16"/>
      <c r="F46" s="16"/>
      <c r="G46" s="16"/>
      <c r="H46" s="16"/>
      <c r="Z46">
        <f t="shared" si="0"/>
        <v>3.421904220732519E-2</v>
      </c>
      <c r="AA46">
        <v>34</v>
      </c>
      <c r="AB46">
        <f t="shared" si="1"/>
        <v>0.59341194567807209</v>
      </c>
      <c r="AC46">
        <f t="shared" si="2"/>
        <v>0.5591929034707469</v>
      </c>
    </row>
    <row r="47" spans="1:29">
      <c r="A47" s="13" t="s">
        <v>57</v>
      </c>
      <c r="B47" s="13">
        <f>IF(B46=0,0,IF(B56&gt;0,D59/B57,IF(B41&gt;B42,IF(B40&lt;0,B46/C20,B46/C12),B46/C12)))</f>
        <v>11.234945482733774</v>
      </c>
      <c r="C47" s="13" t="s">
        <v>59</v>
      </c>
      <c r="D47" s="13"/>
      <c r="E47" s="16"/>
      <c r="F47" s="16"/>
      <c r="G47" s="16"/>
      <c r="H47" s="16"/>
      <c r="Z47">
        <f t="shared" si="0"/>
        <v>3.7288801846969255E-2</v>
      </c>
      <c r="AA47">
        <v>35</v>
      </c>
      <c r="AB47">
        <f t="shared" si="1"/>
        <v>0.6108652381980153</v>
      </c>
      <c r="AC47">
        <f t="shared" si="2"/>
        <v>0.57357643635104605</v>
      </c>
    </row>
    <row r="48" spans="1:29">
      <c r="Z48">
        <f t="shared" si="0"/>
        <v>4.0533278425485486E-2</v>
      </c>
      <c r="AA48">
        <v>36</v>
      </c>
      <c r="AB48">
        <f t="shared" si="1"/>
        <v>0.62831853071795862</v>
      </c>
      <c r="AC48">
        <f t="shared" si="2"/>
        <v>0.58778525229247314</v>
      </c>
    </row>
    <row r="49" spans="1:29">
      <c r="A49" s="22" t="s">
        <v>119</v>
      </c>
      <c r="B49">
        <f>IF(B56&gt;0,B57,IF(B41&lt;B42,C12,IF(B40&lt;0,C20,C12)))</f>
        <v>3.1415926535897931</v>
      </c>
      <c r="Z49">
        <f t="shared" si="0"/>
        <v>4.3956800085853676E-2</v>
      </c>
      <c r="AA49">
        <v>37</v>
      </c>
      <c r="AB49">
        <f t="shared" si="1"/>
        <v>0.64577182323790194</v>
      </c>
      <c r="AC49">
        <f t="shared" si="2"/>
        <v>0.60181502315204827</v>
      </c>
    </row>
    <row r="50" spans="1:29">
      <c r="H50" s="44"/>
      <c r="I50" s="44"/>
      <c r="J50" s="44"/>
      <c r="K50" s="44"/>
      <c r="Z50">
        <f t="shared" si="0"/>
        <v>4.7563640432186971E-2</v>
      </c>
      <c r="AA50">
        <v>38</v>
      </c>
      <c r="AB50">
        <f t="shared" si="1"/>
        <v>0.66322511575784515</v>
      </c>
      <c r="AC50">
        <f t="shared" si="2"/>
        <v>0.61566147532565818</v>
      </c>
    </row>
    <row r="51" spans="1:29" ht="18.75">
      <c r="A51" s="47"/>
      <c r="H51" s="45"/>
      <c r="I51" s="11"/>
      <c r="J51" s="11"/>
      <c r="K51" s="45"/>
      <c r="Z51">
        <f t="shared" si="0"/>
        <v>5.135801722795108E-2</v>
      </c>
      <c r="AA51">
        <v>39</v>
      </c>
      <c r="AB51">
        <f t="shared" si="1"/>
        <v>0.68067840827778847</v>
      </c>
      <c r="AC51">
        <f t="shared" si="2"/>
        <v>0.62932039104983739</v>
      </c>
    </row>
    <row r="52" spans="1:29">
      <c r="I52" s="45"/>
      <c r="J52" s="11"/>
      <c r="K52" s="11"/>
      <c r="L52" s="45"/>
      <c r="Z52">
        <f t="shared" si="0"/>
        <v>5.5344091111192539E-2</v>
      </c>
      <c r="AA52">
        <v>40</v>
      </c>
      <c r="AB52">
        <f t="shared" si="1"/>
        <v>0.69813170079773179</v>
      </c>
      <c r="AC52">
        <f t="shared" si="2"/>
        <v>0.64278760968653925</v>
      </c>
    </row>
    <row r="53" spans="1:29">
      <c r="A53" s="54" t="s">
        <v>132</v>
      </c>
      <c r="B53" s="55"/>
      <c r="C53" s="55"/>
      <c r="D53" s="56"/>
      <c r="E53" s="11"/>
      <c r="F53" s="11"/>
      <c r="G53" s="46"/>
      <c r="I53" s="45"/>
      <c r="J53" s="11"/>
      <c r="K53" s="11"/>
      <c r="L53" s="45"/>
      <c r="Z53">
        <f t="shared" si="0"/>
        <v>5.9525964327167835E-2</v>
      </c>
      <c r="AA53">
        <v>41</v>
      </c>
      <c r="AB53">
        <f t="shared" si="1"/>
        <v>0.715584993317675</v>
      </c>
      <c r="AC53">
        <f t="shared" si="2"/>
        <v>0.65605902899050716</v>
      </c>
    </row>
    <row r="54" spans="1:29">
      <c r="A54" s="57" t="s">
        <v>63</v>
      </c>
      <c r="B54" s="58">
        <f>'Flap Gate - Inputs and Outputs'!D7</f>
        <v>48</v>
      </c>
      <c r="C54" s="55" t="s">
        <v>4</v>
      </c>
      <c r="D54" s="55"/>
      <c r="E54" s="11"/>
      <c r="F54" s="11"/>
      <c r="G54" s="46"/>
      <c r="I54" s="45"/>
      <c r="J54" s="11"/>
      <c r="K54" s="11"/>
      <c r="L54" s="45"/>
      <c r="Z54">
        <f t="shared" si="0"/>
        <v>6.3907679478760193E-2</v>
      </c>
      <c r="AA54">
        <v>42</v>
      </c>
      <c r="AB54">
        <f t="shared" si="1"/>
        <v>0.73303828583761843</v>
      </c>
      <c r="AC54">
        <f t="shared" si="2"/>
        <v>0.66913060635885824</v>
      </c>
    </row>
    <row r="55" spans="1:29">
      <c r="A55" s="57"/>
      <c r="B55" s="58">
        <f>B54/12</f>
        <v>4</v>
      </c>
      <c r="C55" s="55" t="s">
        <v>5</v>
      </c>
      <c r="D55" s="55"/>
      <c r="E55" s="11"/>
      <c r="F55" s="11"/>
      <c r="G55" s="46"/>
      <c r="I55" s="45"/>
      <c r="J55" s="11"/>
      <c r="K55" s="11"/>
      <c r="L55" s="45"/>
      <c r="Z55">
        <f t="shared" si="0"/>
        <v>6.8493218295063163E-2</v>
      </c>
      <c r="AA55">
        <v>43</v>
      </c>
      <c r="AB55">
        <f t="shared" si="1"/>
        <v>0.75049157835756164</v>
      </c>
      <c r="AC55">
        <f t="shared" si="2"/>
        <v>0.68199836006249848</v>
      </c>
    </row>
    <row r="56" spans="1:29">
      <c r="A56" s="57" t="s">
        <v>133</v>
      </c>
      <c r="B56" s="55" t="str">
        <f>IF(B54&lt;C3*12,0,"Over Channel")</f>
        <v>Over Channel</v>
      </c>
      <c r="C56" s="55" t="s">
        <v>4</v>
      </c>
      <c r="D56" s="55"/>
      <c r="E56" s="11"/>
      <c r="F56" s="11"/>
      <c r="G56" s="46"/>
      <c r="I56" s="45"/>
      <c r="J56" s="11"/>
      <c r="K56" s="11"/>
      <c r="L56" s="45"/>
      <c r="Z56">
        <f t="shared" si="0"/>
        <v>7.3286500418507705E-2</v>
      </c>
      <c r="AA56">
        <v>44</v>
      </c>
      <c r="AB56">
        <f t="shared" si="1"/>
        <v>0.76794487087750496</v>
      </c>
      <c r="AC56">
        <f t="shared" si="2"/>
        <v>0.69465837045899725</v>
      </c>
    </row>
    <row r="57" spans="1:29">
      <c r="A57" s="57" t="s">
        <v>134</v>
      </c>
      <c r="B57" s="55">
        <f>IF(B40&lt;0,C20,C6)</f>
        <v>3.1415926535897931</v>
      </c>
      <c r="C57" s="55" t="s">
        <v>32</v>
      </c>
      <c r="D57" s="55" t="s">
        <v>136</v>
      </c>
      <c r="E57" s="11"/>
      <c r="F57" s="11"/>
      <c r="G57" s="46"/>
      <c r="I57" s="45"/>
      <c r="J57" s="11"/>
      <c r="K57" s="11"/>
      <c r="L57" s="45"/>
      <c r="Z57">
        <f t="shared" si="0"/>
        <v>7.8291382210900817E-2</v>
      </c>
      <c r="AA57">
        <v>45</v>
      </c>
      <c r="AB57">
        <f t="shared" si="1"/>
        <v>0.78539816339744828</v>
      </c>
      <c r="AC57">
        <f t="shared" si="2"/>
        <v>0.70710678118654746</v>
      </c>
    </row>
    <row r="58" spans="1:29">
      <c r="A58" s="57"/>
      <c r="B58" s="55"/>
      <c r="C58" s="55"/>
      <c r="D58" s="55"/>
      <c r="E58" s="11"/>
      <c r="F58" s="11"/>
      <c r="G58" s="46"/>
      <c r="I58" s="45"/>
      <c r="J58" s="11"/>
      <c r="K58" s="11"/>
      <c r="L58" s="45"/>
      <c r="Z58">
        <f t="shared" si="0"/>
        <v>8.3511655578740407E-2</v>
      </c>
      <c r="AA58">
        <v>46</v>
      </c>
      <c r="AB58">
        <f t="shared" si="1"/>
        <v>0.80285145591739149</v>
      </c>
      <c r="AC58">
        <f t="shared" si="2"/>
        <v>0.71933980033865108</v>
      </c>
    </row>
    <row r="59" spans="1:29">
      <c r="A59" s="59" t="s">
        <v>97</v>
      </c>
      <c r="B59" s="59" t="str">
        <f>IF(B56=0,0,"Above Channel")</f>
        <v>Above Channel</v>
      </c>
      <c r="C59" s="59" t="s">
        <v>168</v>
      </c>
      <c r="D59" s="59">
        <f>IF(B40&lt;0,D44,L59*B57*(2*C36*B55)^0.5)</f>
        <v>35.295622192038259</v>
      </c>
      <c r="E59" s="16" t="s">
        <v>123</v>
      </c>
      <c r="F59" s="16"/>
      <c r="G59" s="16"/>
      <c r="H59" s="16"/>
      <c r="I59" s="16" t="s">
        <v>100</v>
      </c>
      <c r="J59" s="16"/>
      <c r="K59" s="16"/>
      <c r="L59" s="16">
        <f>'Flap Gate - Inputs and Outputs'!C20</f>
        <v>0.7</v>
      </c>
      <c r="Z59">
        <f t="shared" si="0"/>
        <v>8.8951046818164459E-2</v>
      </c>
      <c r="AA59">
        <v>47</v>
      </c>
      <c r="AB59">
        <f t="shared" si="1"/>
        <v>0.82030474843733492</v>
      </c>
      <c r="AC59">
        <f t="shared" si="2"/>
        <v>0.73135370161917046</v>
      </c>
    </row>
    <row r="60" spans="1:29">
      <c r="A60" s="44"/>
      <c r="E60" s="11"/>
      <c r="F60" s="11"/>
      <c r="G60" s="46"/>
      <c r="I60" s="45"/>
      <c r="J60" s="11"/>
      <c r="K60" s="11"/>
      <c r="L60" s="45"/>
      <c r="Z60">
        <f t="shared" si="0"/>
        <v>9.4613215479883994E-2</v>
      </c>
      <c r="AA60">
        <v>48</v>
      </c>
      <c r="AB60">
        <f t="shared" si="1"/>
        <v>0.83775804095727813</v>
      </c>
      <c r="AC60">
        <f t="shared" si="2"/>
        <v>0.74314482547739413</v>
      </c>
    </row>
    <row r="61" spans="1:29">
      <c r="A61" s="90" t="s">
        <v>173</v>
      </c>
      <c r="B61" s="89" t="e">
        <f>(C14*2)*(B47)*(B63/B65)/B64</f>
        <v>#NUM!</v>
      </c>
      <c r="C61" t="e">
        <f>IF(B61&lt;2000,"Laminar","Turbulent")</f>
        <v>#NUM!</v>
      </c>
      <c r="E61" s="11"/>
      <c r="F61" s="11"/>
      <c r="G61" s="46"/>
      <c r="I61" s="45"/>
      <c r="J61" s="11"/>
      <c r="K61" s="11"/>
      <c r="L61" s="45"/>
      <c r="Z61">
        <f t="shared" si="0"/>
        <v>0.10050175325444943</v>
      </c>
      <c r="AA61">
        <v>49</v>
      </c>
      <c r="AB61">
        <f t="shared" si="1"/>
        <v>0.85521133347722145</v>
      </c>
      <c r="AC61">
        <f t="shared" si="2"/>
        <v>0.75470958022277201</v>
      </c>
    </row>
    <row r="62" spans="1:29">
      <c r="A62" s="90"/>
      <c r="E62" s="11"/>
      <c r="F62" s="11"/>
      <c r="G62" s="46"/>
      <c r="I62" s="45"/>
      <c r="J62" s="11"/>
      <c r="K62" s="11"/>
      <c r="L62" s="45"/>
      <c r="Z62">
        <f t="shared" si="0"/>
        <v>0.10662018287818675</v>
      </c>
      <c r="AA62">
        <v>50</v>
      </c>
      <c r="AB62">
        <f t="shared" si="1"/>
        <v>0.87266462599716477</v>
      </c>
      <c r="AC62">
        <f t="shared" si="2"/>
        <v>0.76604444311897801</v>
      </c>
    </row>
    <row r="63" spans="1:29">
      <c r="A63" s="90" t="s">
        <v>75</v>
      </c>
      <c r="B63">
        <v>62.4</v>
      </c>
      <c r="C63" t="s">
        <v>76</v>
      </c>
      <c r="E63" s="11"/>
      <c r="F63" s="11"/>
      <c r="G63" s="46"/>
      <c r="I63" s="45"/>
      <c r="J63" s="11"/>
      <c r="K63" s="11"/>
      <c r="L63" s="45"/>
      <c r="Z63">
        <f t="shared" si="0"/>
        <v>0.11297195706013718</v>
      </c>
      <c r="AA63">
        <v>51</v>
      </c>
      <c r="AB63">
        <f t="shared" si="1"/>
        <v>0.89011791851710798</v>
      </c>
      <c r="AC63">
        <f t="shared" si="2"/>
        <v>0.77714596145697079</v>
      </c>
    </row>
    <row r="64" spans="1:29">
      <c r="A64" s="90" t="s">
        <v>174</v>
      </c>
      <c r="B64" s="89">
        <v>2.0339999999999998E-5</v>
      </c>
      <c r="C64" t="s">
        <v>175</v>
      </c>
      <c r="E64" s="11"/>
      <c r="F64" s="11"/>
      <c r="G64" s="46"/>
      <c r="I64" s="45"/>
      <c r="J64" s="11"/>
      <c r="K64" s="11"/>
      <c r="L64" s="45"/>
      <c r="Z64">
        <f t="shared" si="0"/>
        <v>0.11956045743032939</v>
      </c>
      <c r="AA64">
        <v>52</v>
      </c>
      <c r="AB64">
        <f t="shared" si="1"/>
        <v>0.90757121103705141</v>
      </c>
      <c r="AC64">
        <f t="shared" si="2"/>
        <v>0.78801075360672201</v>
      </c>
    </row>
    <row r="65" spans="1:29">
      <c r="A65" s="90" t="s">
        <v>80</v>
      </c>
      <c r="B65">
        <f>C36</f>
        <v>32.200000000000003</v>
      </c>
      <c r="C65" t="s">
        <v>81</v>
      </c>
      <c r="E65" s="11"/>
      <c r="F65" s="11"/>
      <c r="G65" s="46"/>
      <c r="I65" s="45"/>
      <c r="J65" s="11"/>
      <c r="K65" s="11"/>
      <c r="L65" s="45"/>
      <c r="Z65">
        <f t="shared" si="0"/>
        <v>0.12638899350970179</v>
      </c>
      <c r="AA65">
        <v>53</v>
      </c>
      <c r="AB65">
        <f t="shared" si="1"/>
        <v>0.92502450355699462</v>
      </c>
      <c r="AC65">
        <f t="shared" si="2"/>
        <v>0.79863551004729283</v>
      </c>
    </row>
    <row r="66" spans="1:29">
      <c r="A66" s="44"/>
      <c r="E66" s="11"/>
      <c r="F66" s="11"/>
      <c r="G66" s="46"/>
      <c r="I66" s="45"/>
      <c r="J66" s="11"/>
      <c r="K66" s="11"/>
      <c r="L66" s="45"/>
      <c r="Z66">
        <f t="shared" si="0"/>
        <v>0.13346080170199048</v>
      </c>
      <c r="AA66">
        <v>54</v>
      </c>
      <c r="AB66">
        <f t="shared" si="1"/>
        <v>0.94247779607693793</v>
      </c>
      <c r="AC66">
        <f t="shared" si="2"/>
        <v>0.80901699437494745</v>
      </c>
    </row>
    <row r="67" spans="1:29">
      <c r="A67" s="44"/>
      <c r="E67" s="11"/>
      <c r="F67" s="11"/>
      <c r="G67" s="46"/>
      <c r="I67" s="45"/>
      <c r="J67" s="11"/>
      <c r="K67" s="11"/>
      <c r="L67" s="45"/>
      <c r="Z67">
        <f t="shared" si="0"/>
        <v>0.14077904430788946</v>
      </c>
      <c r="AA67">
        <v>55</v>
      </c>
      <c r="AB67">
        <f t="shared" si="1"/>
        <v>0.95993108859688125</v>
      </c>
      <c r="AC67">
        <f t="shared" si="2"/>
        <v>0.8191520442889918</v>
      </c>
    </row>
    <row r="68" spans="1:29">
      <c r="A68" s="44"/>
      <c r="E68" s="11"/>
      <c r="F68" s="11"/>
      <c r="G68" s="46"/>
      <c r="I68" s="45"/>
      <c r="J68" s="11"/>
      <c r="K68" s="11"/>
      <c r="L68" s="45"/>
      <c r="Z68">
        <f t="shared" si="0"/>
        <v>0.14834680856178284</v>
      </c>
      <c r="AA68">
        <v>56</v>
      </c>
      <c r="AB68">
        <f t="shared" si="1"/>
        <v>0.97738438111682457</v>
      </c>
      <c r="AC68">
        <f t="shared" si="2"/>
        <v>0.82903757255504174</v>
      </c>
    </row>
    <row r="69" spans="1:29">
      <c r="A69" s="44"/>
      <c r="E69" s="11"/>
      <c r="F69" s="11"/>
      <c r="G69" s="46"/>
      <c r="I69" s="45"/>
      <c r="J69" s="11"/>
      <c r="K69" s="11"/>
      <c r="L69" s="45"/>
      <c r="Z69">
        <f t="shared" si="0"/>
        <v>0.15616710569134384</v>
      </c>
      <c r="AA69">
        <v>57</v>
      </c>
      <c r="AB69">
        <f t="shared" si="1"/>
        <v>0.99483767363676778</v>
      </c>
      <c r="AC69">
        <f t="shared" si="2"/>
        <v>0.83867056794542394</v>
      </c>
    </row>
    <row r="70" spans="1:29">
      <c r="A70" s="44"/>
      <c r="E70" s="11"/>
      <c r="F70" s="11"/>
      <c r="G70" s="46"/>
      <c r="I70" s="45"/>
      <c r="J70" s="11"/>
      <c r="K70" s="11"/>
      <c r="L70" s="45"/>
      <c r="Z70">
        <f t="shared" si="0"/>
        <v>0.16424287000028526</v>
      </c>
      <c r="AA70">
        <v>58</v>
      </c>
      <c r="AB70">
        <f t="shared" si="1"/>
        <v>1.0122909661567112</v>
      </c>
      <c r="AC70">
        <f t="shared" si="2"/>
        <v>0.84804809615642596</v>
      </c>
    </row>
    <row r="71" spans="1:29">
      <c r="A71" s="44"/>
      <c r="E71" s="11"/>
      <c r="F71" s="11"/>
      <c r="G71" s="46"/>
      <c r="I71" s="45"/>
      <c r="J71" s="11"/>
      <c r="K71" s="11"/>
      <c r="L71" s="45"/>
      <c r="Z71">
        <f t="shared" si="0"/>
        <v>0.17257695797454209</v>
      </c>
      <c r="AA71">
        <v>59</v>
      </c>
      <c r="AB71">
        <f t="shared" si="1"/>
        <v>1.0297442586766543</v>
      </c>
      <c r="AC71">
        <f t="shared" si="2"/>
        <v>0.85716730070211222</v>
      </c>
    </row>
    <row r="72" spans="1:29">
      <c r="A72" s="44"/>
      <c r="E72" s="11"/>
      <c r="F72" s="11"/>
      <c r="G72" s="46"/>
      <c r="I72" s="45"/>
      <c r="J72" s="11"/>
      <c r="K72" s="11"/>
      <c r="L72" s="45"/>
      <c r="Z72">
        <f t="shared" si="0"/>
        <v>0.18117214741215903</v>
      </c>
      <c r="AA72">
        <v>60</v>
      </c>
      <c r="AB72">
        <f t="shared" si="1"/>
        <v>1.0471975511965976</v>
      </c>
      <c r="AC72">
        <f t="shared" si="2"/>
        <v>0.8660254037844386</v>
      </c>
    </row>
    <row r="73" spans="1:29">
      <c r="A73" s="44"/>
      <c r="E73" s="11"/>
      <c r="F73" s="11"/>
      <c r="G73" s="46"/>
      <c r="I73" s="45"/>
      <c r="J73" s="11"/>
      <c r="K73" s="11"/>
      <c r="L73" s="45"/>
      <c r="Z73">
        <f t="shared" si="0"/>
        <v>0.19003113657714521</v>
      </c>
      <c r="AA73">
        <v>61</v>
      </c>
      <c r="AB73">
        <f t="shared" si="1"/>
        <v>1.064650843716541</v>
      </c>
      <c r="AC73">
        <f t="shared" si="2"/>
        <v>0.87461970713939574</v>
      </c>
    </row>
    <row r="74" spans="1:29">
      <c r="A74" s="44"/>
      <c r="E74" s="11"/>
      <c r="F74" s="11"/>
      <c r="G74" s="46"/>
      <c r="I74" s="45"/>
      <c r="J74" s="11"/>
      <c r="K74" s="11"/>
      <c r="L74" s="45"/>
      <c r="Z74">
        <f t="shared" si="0"/>
        <v>0.19915654337755739</v>
      </c>
      <c r="AA74">
        <v>62</v>
      </c>
      <c r="AB74">
        <f t="shared" si="1"/>
        <v>1.0821041362364843</v>
      </c>
      <c r="AC74">
        <f t="shared" si="2"/>
        <v>0.88294759285892688</v>
      </c>
    </row>
    <row r="75" spans="1:29">
      <c r="A75" s="44"/>
      <c r="E75" s="11"/>
      <c r="F75" s="11"/>
      <c r="G75" s="46"/>
      <c r="I75" s="45"/>
      <c r="J75" s="11"/>
      <c r="K75" s="11"/>
      <c r="L75" s="45"/>
      <c r="Z75">
        <f t="shared" si="0"/>
        <v>0.2085509045680598</v>
      </c>
      <c r="AA75">
        <v>63</v>
      </c>
      <c r="AB75">
        <f t="shared" si="1"/>
        <v>1.0995574287564276</v>
      </c>
      <c r="AC75">
        <f t="shared" si="2"/>
        <v>0.89100652418836779</v>
      </c>
    </row>
    <row r="76" spans="1:29">
      <c r="A76" s="44"/>
      <c r="E76" s="11"/>
      <c r="F76" s="11"/>
      <c r="G76" s="46"/>
      <c r="I76" s="45"/>
      <c r="J76" s="11"/>
      <c r="K76" s="11"/>
      <c r="L76" s="45"/>
      <c r="Z76">
        <f t="shared" si="0"/>
        <v>0.21821667497720387</v>
      </c>
      <c r="AA76">
        <v>64</v>
      </c>
      <c r="AB76">
        <f t="shared" si="1"/>
        <v>1.1170107212763709</v>
      </c>
      <c r="AC76">
        <f t="shared" si="2"/>
        <v>0.89879404629916704</v>
      </c>
    </row>
    <row r="77" spans="1:29">
      <c r="A77" s="44"/>
      <c r="E77" s="11"/>
      <c r="F77" s="11"/>
      <c r="G77" s="46"/>
      <c r="I77" s="45"/>
      <c r="J77" s="11"/>
      <c r="K77" s="11"/>
      <c r="L77" s="45"/>
      <c r="Z77">
        <f t="shared" ref="Z77:Z140" si="3">AB77-SIN(AB77)</f>
        <v>0.22815622675966429</v>
      </c>
      <c r="AA77">
        <v>65</v>
      </c>
      <c r="AB77">
        <f t="shared" ref="AB77:AB140" si="4">AA77*PI()/180</f>
        <v>1.1344640137963142</v>
      </c>
      <c r="AC77">
        <f t="shared" ref="AC77:AC140" si="5">SIN(AB77)</f>
        <v>0.90630778703664994</v>
      </c>
    </row>
    <row r="78" spans="1:29">
      <c r="A78" s="44"/>
      <c r="E78" s="11"/>
      <c r="F78" s="11"/>
      <c r="G78" s="46"/>
      <c r="I78" s="45"/>
      <c r="J78" s="11"/>
      <c r="K78" s="11"/>
      <c r="L78" s="45"/>
      <c r="Z78">
        <f t="shared" si="3"/>
        <v>0.23837184867365668</v>
      </c>
      <c r="AA78">
        <v>66</v>
      </c>
      <c r="AB78">
        <f t="shared" si="4"/>
        <v>1.1519173063162575</v>
      </c>
      <c r="AC78">
        <f t="shared" si="5"/>
        <v>0.91354545764260087</v>
      </c>
    </row>
    <row r="79" spans="1:29">
      <c r="A79" s="44"/>
      <c r="E79" s="11"/>
      <c r="F79" s="11"/>
      <c r="G79" s="46"/>
      <c r="I79" s="45"/>
      <c r="J79" s="11"/>
      <c r="K79" s="11"/>
      <c r="L79" s="45"/>
      <c r="Z79">
        <f t="shared" si="3"/>
        <v>0.24886574538376038</v>
      </c>
      <c r="AA79">
        <v>67</v>
      </c>
      <c r="AB79">
        <f t="shared" si="4"/>
        <v>1.1693705988362006</v>
      </c>
      <c r="AC79">
        <f t="shared" si="5"/>
        <v>0.92050485345244026</v>
      </c>
    </row>
    <row r="80" spans="1:29">
      <c r="A80" s="44"/>
      <c r="E80" s="11"/>
      <c r="F80" s="11"/>
      <c r="G80" s="46"/>
      <c r="I80" s="45"/>
      <c r="J80" s="11"/>
      <c r="K80" s="11"/>
      <c r="L80" s="45"/>
      <c r="Z80">
        <f t="shared" si="3"/>
        <v>0.25964003678935677</v>
      </c>
      <c r="AA80">
        <v>68</v>
      </c>
      <c r="AB80">
        <f t="shared" si="4"/>
        <v>1.1868238913561442</v>
      </c>
      <c r="AC80">
        <f t="shared" si="5"/>
        <v>0.92718385456678742</v>
      </c>
    </row>
    <row r="81" spans="1:29">
      <c r="A81" s="44"/>
      <c r="E81" s="11"/>
      <c r="F81" s="11"/>
      <c r="G81" s="46"/>
      <c r="I81" s="45"/>
      <c r="J81" s="11"/>
      <c r="K81" s="11"/>
      <c r="L81" s="45"/>
      <c r="Z81">
        <f t="shared" si="3"/>
        <v>0.27069675737888554</v>
      </c>
      <c r="AA81">
        <v>69</v>
      </c>
      <c r="AB81">
        <f t="shared" si="4"/>
        <v>1.2042771838760873</v>
      </c>
      <c r="AC81">
        <f t="shared" si="5"/>
        <v>0.93358042649720174</v>
      </c>
    </row>
    <row r="82" spans="1:29">
      <c r="A82" s="44"/>
      <c r="E82" s="11"/>
      <c r="F82" s="11"/>
      <c r="G82" s="46"/>
      <c r="I82" s="45"/>
      <c r="J82" s="11"/>
      <c r="K82" s="11"/>
      <c r="L82" s="45"/>
      <c r="Z82">
        <f t="shared" si="3"/>
        <v>0.28203785561012229</v>
      </c>
      <c r="AA82">
        <v>70</v>
      </c>
      <c r="AB82">
        <f t="shared" si="4"/>
        <v>1.2217304763960306</v>
      </c>
      <c r="AC82">
        <f t="shared" si="5"/>
        <v>0.93969262078590832</v>
      </c>
    </row>
    <row r="83" spans="1:29">
      <c r="A83" s="44"/>
      <c r="E83" s="11"/>
      <c r="F83" s="11"/>
      <c r="G83" s="46"/>
      <c r="I83" s="45"/>
      <c r="J83" s="11"/>
      <c r="K83" s="11"/>
      <c r="L83" s="45"/>
      <c r="Z83">
        <f t="shared" si="3"/>
        <v>0.29366519331665719</v>
      </c>
      <c r="AA83">
        <v>71</v>
      </c>
      <c r="AB83">
        <f t="shared" si="4"/>
        <v>1.2391837689159739</v>
      </c>
      <c r="AC83">
        <f t="shared" si="5"/>
        <v>0.94551857559931674</v>
      </c>
    </row>
    <row r="84" spans="1:29">
      <c r="A84" s="44"/>
      <c r="E84" s="11"/>
      <c r="F84" s="11"/>
      <c r="G84" s="46"/>
      <c r="I84" s="45"/>
      <c r="J84" s="11"/>
      <c r="K84" s="11"/>
      <c r="L84" s="45"/>
      <c r="Z84">
        <f t="shared" si="3"/>
        <v>0.30558054514076372</v>
      </c>
      <c r="AA84">
        <v>72</v>
      </c>
      <c r="AB84">
        <f t="shared" si="4"/>
        <v>1.2566370614359172</v>
      </c>
      <c r="AC84">
        <f t="shared" si="5"/>
        <v>0.95105651629515353</v>
      </c>
    </row>
    <row r="85" spans="1:29">
      <c r="A85" s="44"/>
      <c r="E85" s="11"/>
      <c r="F85" s="11"/>
      <c r="G85" s="46"/>
      <c r="I85" s="45"/>
      <c r="J85" s="11"/>
      <c r="K85" s="11"/>
      <c r="L85" s="45"/>
      <c r="Z85">
        <f t="shared" si="3"/>
        <v>0.31778559799282513</v>
      </c>
      <c r="AA85">
        <v>73</v>
      </c>
      <c r="AB85">
        <f t="shared" si="4"/>
        <v>1.2740903539558606</v>
      </c>
      <c r="AC85">
        <f t="shared" si="5"/>
        <v>0.95630475596303544</v>
      </c>
    </row>
    <row r="86" spans="1:29">
      <c r="A86" s="44"/>
      <c r="E86" s="11"/>
      <c r="F86" s="11"/>
      <c r="G86" s="46"/>
      <c r="I86" s="45"/>
      <c r="J86" s="11"/>
      <c r="K86" s="11"/>
      <c r="L86" s="45"/>
      <c r="Z86">
        <f t="shared" si="3"/>
        <v>0.33028195053748499</v>
      </c>
      <c r="AA86">
        <v>74</v>
      </c>
      <c r="AB86">
        <f t="shared" si="4"/>
        <v>1.2915436464758039</v>
      </c>
      <c r="AC86">
        <f t="shared" si="5"/>
        <v>0.96126169593831889</v>
      </c>
    </row>
    <row r="87" spans="1:29">
      <c r="A87" s="44"/>
      <c r="E87" s="11"/>
      <c r="F87" s="11"/>
      <c r="G87" s="46"/>
      <c r="Z87">
        <f t="shared" si="3"/>
        <v>0.34307111270667889</v>
      </c>
      <c r="AA87">
        <v>75</v>
      </c>
      <c r="AB87">
        <f t="shared" si="4"/>
        <v>1.3089969389957472</v>
      </c>
      <c r="AC87">
        <f t="shared" si="5"/>
        <v>0.96592582628906831</v>
      </c>
    </row>
    <row r="88" spans="1:29">
      <c r="A88" s="44"/>
      <c r="E88" s="11"/>
      <c r="F88" s="11"/>
      <c r="G88" s="46"/>
      <c r="Z88">
        <f t="shared" si="3"/>
        <v>0.35615450523969383</v>
      </c>
      <c r="AA88">
        <v>76</v>
      </c>
      <c r="AB88">
        <f t="shared" si="4"/>
        <v>1.3264502315156903</v>
      </c>
      <c r="AC88">
        <f t="shared" si="5"/>
        <v>0.97029572627599647</v>
      </c>
    </row>
    <row r="89" spans="1:29">
      <c r="A89" s="44"/>
      <c r="E89" s="11"/>
      <c r="F89" s="11"/>
      <c r="G89" s="46"/>
      <c r="Z89">
        <f t="shared" si="3"/>
        <v>0.3695334592503986</v>
      </c>
      <c r="AA89">
        <v>77</v>
      </c>
      <c r="AB89">
        <f t="shared" si="4"/>
        <v>1.3439035240356338</v>
      </c>
      <c r="AC89">
        <f t="shared" si="5"/>
        <v>0.97437006478523525</v>
      </c>
    </row>
    <row r="90" spans="1:29">
      <c r="A90" s="44"/>
      <c r="E90" s="11"/>
      <c r="F90" s="11"/>
      <c r="G90" s="46"/>
      <c r="Z90">
        <f t="shared" si="3"/>
        <v>0.38320921582177137</v>
      </c>
      <c r="AA90">
        <v>78</v>
      </c>
      <c r="AB90">
        <f t="shared" si="4"/>
        <v>1.3613568165555769</v>
      </c>
      <c r="AC90">
        <f t="shared" si="5"/>
        <v>0.97814760073380558</v>
      </c>
    </row>
    <row r="91" spans="1:29">
      <c r="A91" s="44"/>
      <c r="E91" s="11"/>
      <c r="F91" s="11"/>
      <c r="G91" s="46"/>
      <c r="Z91">
        <f t="shared" si="3"/>
        <v>0.39718292562785629</v>
      </c>
      <c r="AA91">
        <v>79</v>
      </c>
      <c r="AB91">
        <f t="shared" si="4"/>
        <v>1.3788101090755203</v>
      </c>
      <c r="AC91">
        <f t="shared" si="5"/>
        <v>0.98162718344766398</v>
      </c>
    </row>
    <row r="92" spans="1:29">
      <c r="Z92">
        <f t="shared" si="3"/>
        <v>0.41145564858325556</v>
      </c>
      <c r="AA92">
        <v>80</v>
      </c>
      <c r="AB92">
        <f t="shared" si="4"/>
        <v>1.3962634015954636</v>
      </c>
      <c r="AC92">
        <f t="shared" si="5"/>
        <v>0.98480775301220802</v>
      </c>
    </row>
    <row r="93" spans="1:29">
      <c r="Z93">
        <f t="shared" si="3"/>
        <v>0.42602835352026913</v>
      </c>
      <c r="AA93">
        <v>81</v>
      </c>
      <c r="AB93">
        <f t="shared" si="4"/>
        <v>1.4137166941154069</v>
      </c>
      <c r="AC93">
        <f t="shared" si="5"/>
        <v>0.98768834059513777</v>
      </c>
    </row>
    <row r="94" spans="1:29">
      <c r="Z94">
        <f t="shared" si="3"/>
        <v>0.44090191789377975</v>
      </c>
      <c r="AA94">
        <v>82</v>
      </c>
      <c r="AB94">
        <f t="shared" si="4"/>
        <v>1.43116998663535</v>
      </c>
      <c r="AC94">
        <f t="shared" si="5"/>
        <v>0.99026806874157025</v>
      </c>
    </row>
    <row r="95" spans="1:29">
      <c r="Z95">
        <f t="shared" si="3"/>
        <v>0.45607712751397156</v>
      </c>
      <c r="AA95">
        <v>83</v>
      </c>
      <c r="AB95">
        <f t="shared" si="4"/>
        <v>1.4486232791552935</v>
      </c>
      <c r="AC95">
        <f t="shared" si="5"/>
        <v>0.99254615164132198</v>
      </c>
    </row>
    <row r="96" spans="1:29">
      <c r="Z96">
        <f t="shared" si="3"/>
        <v>0.47155467630696357</v>
      </c>
      <c r="AA96">
        <v>84</v>
      </c>
      <c r="AB96">
        <f t="shared" si="4"/>
        <v>1.4660765716752369</v>
      </c>
      <c r="AC96">
        <f t="shared" si="5"/>
        <v>0.99452189536827329</v>
      </c>
    </row>
    <row r="97" spans="26:29">
      <c r="Z97">
        <f t="shared" si="3"/>
        <v>0.48733516610343464</v>
      </c>
      <c r="AA97">
        <v>85</v>
      </c>
      <c r="AB97">
        <f t="shared" si="4"/>
        <v>1.4835298641951802</v>
      </c>
      <c r="AC97">
        <f t="shared" si="5"/>
        <v>0.99619469809174555</v>
      </c>
    </row>
    <row r="98" spans="26:29">
      <c r="Z98">
        <f t="shared" si="3"/>
        <v>0.50341910645529908</v>
      </c>
      <c r="AA98">
        <v>86</v>
      </c>
      <c r="AB98">
        <f t="shared" si="4"/>
        <v>1.5009831567151233</v>
      </c>
      <c r="AC98">
        <f t="shared" si="5"/>
        <v>0.9975640502598242</v>
      </c>
    </row>
    <row r="99" spans="26:29">
      <c r="Z99">
        <f t="shared" si="3"/>
        <v>0.51980691448049277</v>
      </c>
      <c r="AA99">
        <v>87</v>
      </c>
      <c r="AB99">
        <f t="shared" si="4"/>
        <v>1.5184364492350666</v>
      </c>
      <c r="AC99">
        <f t="shared" si="5"/>
        <v>0.99862953475457383</v>
      </c>
    </row>
    <row r="100" spans="26:29">
      <c r="Z100">
        <f t="shared" si="3"/>
        <v>0.53649891473591416</v>
      </c>
      <c r="AA100">
        <v>88</v>
      </c>
      <c r="AB100">
        <f t="shared" si="4"/>
        <v>1.5358897417550099</v>
      </c>
      <c r="AC100">
        <f t="shared" si="5"/>
        <v>0.99939082701909576</v>
      </c>
    </row>
    <row r="101" spans="26:29">
      <c r="Z101">
        <f t="shared" si="3"/>
        <v>0.55349533911856219</v>
      </c>
      <c r="AA101">
        <v>89</v>
      </c>
      <c r="AB101">
        <f t="shared" si="4"/>
        <v>1.5533430342749535</v>
      </c>
      <c r="AC101">
        <f t="shared" si="5"/>
        <v>0.99984769515639127</v>
      </c>
    </row>
    <row r="102" spans="26:29">
      <c r="Z102">
        <f t="shared" si="3"/>
        <v>0.57079632679489656</v>
      </c>
      <c r="AA102">
        <v>90</v>
      </c>
      <c r="AB102">
        <f t="shared" si="4"/>
        <v>1.5707963267948966</v>
      </c>
      <c r="AC102">
        <f t="shared" si="5"/>
        <v>1</v>
      </c>
    </row>
    <row r="103" spans="26:29">
      <c r="Z103">
        <f t="shared" si="3"/>
        <v>0.58840192415844861</v>
      </c>
      <c r="AA103">
        <v>91</v>
      </c>
      <c r="AB103">
        <f t="shared" si="4"/>
        <v>1.5882496193148399</v>
      </c>
      <c r="AC103">
        <f t="shared" si="5"/>
        <v>0.99984769515639127</v>
      </c>
    </row>
    <row r="104" spans="26:29">
      <c r="Z104">
        <f t="shared" si="3"/>
        <v>0.60631208481568721</v>
      </c>
      <c r="AA104">
        <v>92</v>
      </c>
      <c r="AB104">
        <f t="shared" si="4"/>
        <v>1.605702911834783</v>
      </c>
      <c r="AC104">
        <f t="shared" si="5"/>
        <v>0.99939082701909576</v>
      </c>
    </row>
    <row r="105" spans="26:29">
      <c r="Z105">
        <f t="shared" si="3"/>
        <v>0.62452666960015246</v>
      </c>
      <c r="AA105">
        <v>93</v>
      </c>
      <c r="AB105">
        <f t="shared" si="4"/>
        <v>1.6231562043547263</v>
      </c>
      <c r="AC105">
        <f t="shared" si="5"/>
        <v>0.99862953475457383</v>
      </c>
    </row>
    <row r="106" spans="26:29">
      <c r="Z106">
        <f t="shared" si="3"/>
        <v>0.64304544661484564</v>
      </c>
      <c r="AA106">
        <v>94</v>
      </c>
      <c r="AB106">
        <f t="shared" si="4"/>
        <v>1.6406094968746698</v>
      </c>
      <c r="AC106">
        <f t="shared" si="5"/>
        <v>0.9975640502598242</v>
      </c>
    </row>
    <row r="107" spans="26:29">
      <c r="Z107">
        <f t="shared" si="3"/>
        <v>0.66186809130286761</v>
      </c>
      <c r="AA107">
        <v>95</v>
      </c>
      <c r="AB107">
        <f t="shared" si="4"/>
        <v>1.6580627893946132</v>
      </c>
      <c r="AC107">
        <f t="shared" si="5"/>
        <v>0.99619469809174555</v>
      </c>
    </row>
    <row r="108" spans="26:29">
      <c r="Z108">
        <f t="shared" si="3"/>
        <v>0.68099418654628285</v>
      </c>
      <c r="AA108">
        <v>96</v>
      </c>
      <c r="AB108">
        <f t="shared" si="4"/>
        <v>1.6755160819145563</v>
      </c>
      <c r="AC108">
        <f t="shared" si="5"/>
        <v>0.9945218953682734</v>
      </c>
    </row>
    <row r="109" spans="26:29">
      <c r="Z109">
        <f t="shared" si="3"/>
        <v>0.70042322279317748</v>
      </c>
      <c r="AA109">
        <v>97</v>
      </c>
      <c r="AB109">
        <f t="shared" si="4"/>
        <v>1.6929693744344996</v>
      </c>
      <c r="AC109">
        <f t="shared" si="5"/>
        <v>0.99254615164132209</v>
      </c>
    </row>
    <row r="110" spans="26:29">
      <c r="Z110">
        <f t="shared" si="3"/>
        <v>0.72015459821287253</v>
      </c>
      <c r="AA110">
        <v>98</v>
      </c>
      <c r="AB110">
        <f t="shared" si="4"/>
        <v>1.7104226669544429</v>
      </c>
      <c r="AC110">
        <f t="shared" si="5"/>
        <v>0.99026806874157036</v>
      </c>
    </row>
    <row r="111" spans="26:29">
      <c r="Z111">
        <f t="shared" si="3"/>
        <v>0.74018761887924878</v>
      </c>
      <c r="AA111">
        <v>99</v>
      </c>
      <c r="AB111">
        <f t="shared" si="4"/>
        <v>1.7278759594743864</v>
      </c>
      <c r="AC111">
        <f t="shared" si="5"/>
        <v>0.98768834059513766</v>
      </c>
    </row>
    <row r="112" spans="26:29">
      <c r="Z112">
        <f t="shared" si="3"/>
        <v>0.76052149898212151</v>
      </c>
      <c r="AA112">
        <v>100</v>
      </c>
      <c r="AB112">
        <f t="shared" si="4"/>
        <v>1.7453292519943295</v>
      </c>
      <c r="AC112">
        <f t="shared" si="5"/>
        <v>0.98480775301220802</v>
      </c>
    </row>
    <row r="113" spans="26:29">
      <c r="Z113">
        <f t="shared" si="3"/>
        <v>0.78115536106660888</v>
      </c>
      <c r="AA113">
        <v>101</v>
      </c>
      <c r="AB113">
        <f t="shared" si="4"/>
        <v>1.7627825445142729</v>
      </c>
      <c r="AC113">
        <f t="shared" si="5"/>
        <v>0.98162718344766398</v>
      </c>
    </row>
    <row r="114" spans="26:29">
      <c r="Z114">
        <f t="shared" si="3"/>
        <v>0.80208823630041026</v>
      </c>
      <c r="AA114">
        <v>102</v>
      </c>
      <c r="AB114">
        <f t="shared" si="4"/>
        <v>1.780235837034216</v>
      </c>
      <c r="AC114">
        <f t="shared" si="5"/>
        <v>0.97814760073380569</v>
      </c>
    </row>
    <row r="115" spans="26:29">
      <c r="Z115">
        <f t="shared" si="3"/>
        <v>0.82331906476892402</v>
      </c>
      <c r="AA115">
        <v>103</v>
      </c>
      <c r="AB115">
        <f t="shared" si="4"/>
        <v>1.7976891295541593</v>
      </c>
      <c r="AC115">
        <f t="shared" si="5"/>
        <v>0.97437006478523525</v>
      </c>
    </row>
    <row r="116" spans="26:29">
      <c r="Z116">
        <f t="shared" si="3"/>
        <v>0.84484669579810634</v>
      </c>
      <c r="AA116">
        <v>104</v>
      </c>
      <c r="AB116">
        <f t="shared" si="4"/>
        <v>1.8151424220741028</v>
      </c>
      <c r="AC116">
        <f t="shared" si="5"/>
        <v>0.97029572627599647</v>
      </c>
    </row>
    <row r="117" spans="26:29">
      <c r="Z117">
        <f t="shared" si="3"/>
        <v>0.86666988830497782</v>
      </c>
      <c r="AA117">
        <v>105</v>
      </c>
      <c r="AB117">
        <f t="shared" si="4"/>
        <v>1.8325957145940461</v>
      </c>
      <c r="AC117">
        <f t="shared" si="5"/>
        <v>0.96592582628906831</v>
      </c>
    </row>
    <row r="118" spans="26:29">
      <c r="Z118">
        <f t="shared" si="3"/>
        <v>0.88878731117567034</v>
      </c>
      <c r="AA118">
        <v>106</v>
      </c>
      <c r="AB118">
        <f t="shared" si="4"/>
        <v>1.8500490071139892</v>
      </c>
      <c r="AC118">
        <f t="shared" si="5"/>
        <v>0.96126169593831889</v>
      </c>
    </row>
    <row r="119" spans="26:29">
      <c r="Z119">
        <f t="shared" si="3"/>
        <v>0.911197543670897</v>
      </c>
      <c r="AA119">
        <v>107</v>
      </c>
      <c r="AB119">
        <f t="shared" si="4"/>
        <v>1.8675022996339325</v>
      </c>
      <c r="AC119">
        <f t="shared" si="5"/>
        <v>0.95630475596303555</v>
      </c>
    </row>
    <row r="120" spans="26:29">
      <c r="Z120">
        <f t="shared" si="3"/>
        <v>0.93389907585872223</v>
      </c>
      <c r="AA120">
        <v>108</v>
      </c>
      <c r="AB120">
        <f t="shared" si="4"/>
        <v>1.8849555921538759</v>
      </c>
      <c r="AC120">
        <f t="shared" si="5"/>
        <v>0.95105651629515364</v>
      </c>
    </row>
    <row r="121" spans="26:29">
      <c r="Z121">
        <f t="shared" si="3"/>
        <v>0.95689030907450212</v>
      </c>
      <c r="AA121">
        <v>109</v>
      </c>
      <c r="AB121">
        <f t="shared" si="4"/>
        <v>1.902408884673819</v>
      </c>
      <c r="AC121">
        <f t="shared" si="5"/>
        <v>0.94551857559931685</v>
      </c>
    </row>
    <row r="122" spans="26:29">
      <c r="Z122">
        <f t="shared" si="3"/>
        <v>0.98016955640785408</v>
      </c>
      <c r="AA122">
        <v>110</v>
      </c>
      <c r="AB122">
        <f t="shared" si="4"/>
        <v>1.9198621771937625</v>
      </c>
      <c r="AC122">
        <f t="shared" si="5"/>
        <v>0.93969262078590843</v>
      </c>
    </row>
    <row r="123" spans="26:29">
      <c r="Z123">
        <f t="shared" si="3"/>
        <v>1.003735043216504</v>
      </c>
      <c r="AA123">
        <v>111</v>
      </c>
      <c r="AB123">
        <f t="shared" si="4"/>
        <v>1.9373154697137058</v>
      </c>
      <c r="AC123">
        <f t="shared" si="5"/>
        <v>0.93358042649720174</v>
      </c>
    </row>
    <row r="124" spans="26:29">
      <c r="Z124">
        <f t="shared" si="3"/>
        <v>1.0275849076668617</v>
      </c>
      <c r="AA124">
        <v>112</v>
      </c>
      <c r="AB124">
        <f t="shared" si="4"/>
        <v>1.9547687622336491</v>
      </c>
      <c r="AC124">
        <f t="shared" si="5"/>
        <v>0.92718385456678742</v>
      </c>
    </row>
    <row r="125" spans="26:29">
      <c r="Z125">
        <f t="shared" si="3"/>
        <v>1.0517172013011518</v>
      </c>
      <c r="AA125">
        <v>113</v>
      </c>
      <c r="AB125">
        <f t="shared" si="4"/>
        <v>1.9722220547535922</v>
      </c>
      <c r="AC125">
        <f t="shared" si="5"/>
        <v>0.92050485345244037</v>
      </c>
    </row>
    <row r="126" spans="26:29">
      <c r="Z126">
        <f t="shared" si="3"/>
        <v>1.0761298896309346</v>
      </c>
      <c r="AA126">
        <v>114</v>
      </c>
      <c r="AB126">
        <f t="shared" si="4"/>
        <v>1.9896753472735356</v>
      </c>
      <c r="AC126">
        <f t="shared" si="5"/>
        <v>0.91354545764260098</v>
      </c>
    </row>
    <row r="127" spans="26:29">
      <c r="Z127">
        <f t="shared" si="3"/>
        <v>1.1008208527568288</v>
      </c>
      <c r="AA127">
        <v>115</v>
      </c>
      <c r="AB127">
        <f t="shared" si="4"/>
        <v>2.0071286397934789</v>
      </c>
      <c r="AC127">
        <f t="shared" si="5"/>
        <v>0.90630778703665005</v>
      </c>
    </row>
    <row r="128" spans="26:29">
      <c r="Z128">
        <f t="shared" si="3"/>
        <v>1.1257878860142556</v>
      </c>
      <c r="AA128">
        <v>116</v>
      </c>
      <c r="AB128">
        <f t="shared" si="4"/>
        <v>2.0245819323134224</v>
      </c>
      <c r="AC128">
        <f t="shared" si="5"/>
        <v>0.89879404629916693</v>
      </c>
    </row>
    <row r="129" spans="26:29">
      <c r="Z129">
        <f t="shared" si="3"/>
        <v>1.1510287006449977</v>
      </c>
      <c r="AA129">
        <v>117</v>
      </c>
      <c r="AB129">
        <f t="shared" si="4"/>
        <v>2.0420352248333655</v>
      </c>
      <c r="AC129">
        <f t="shared" si="5"/>
        <v>0.8910065241883679</v>
      </c>
    </row>
    <row r="130" spans="26:29">
      <c r="Z130">
        <f t="shared" si="3"/>
        <v>1.1765409244943816</v>
      </c>
      <c r="AA130">
        <v>118</v>
      </c>
      <c r="AB130">
        <f t="shared" si="4"/>
        <v>2.0594885173533086</v>
      </c>
      <c r="AC130">
        <f t="shared" si="5"/>
        <v>0.8829475928589271</v>
      </c>
    </row>
    <row r="131" spans="26:29">
      <c r="Z131">
        <f t="shared" si="3"/>
        <v>1.2023221027338562</v>
      </c>
      <c r="AA131">
        <v>119</v>
      </c>
      <c r="AB131">
        <f t="shared" si="4"/>
        <v>2.0769418098732522</v>
      </c>
      <c r="AC131">
        <f t="shared" si="5"/>
        <v>0.87461970713939585</v>
      </c>
    </row>
    <row r="132" spans="26:29">
      <c r="Z132">
        <f t="shared" si="3"/>
        <v>1.2283696986087564</v>
      </c>
      <c r="AA132">
        <v>120</v>
      </c>
      <c r="AB132">
        <f t="shared" si="4"/>
        <v>2.0943951023931953</v>
      </c>
      <c r="AC132">
        <f t="shared" si="5"/>
        <v>0.86602540378443871</v>
      </c>
    </row>
    <row r="133" spans="26:29">
      <c r="Z133">
        <f t="shared" si="3"/>
        <v>1.2546810942110265</v>
      </c>
      <c r="AA133">
        <v>121</v>
      </c>
      <c r="AB133">
        <f t="shared" si="4"/>
        <v>2.1118483949131388</v>
      </c>
      <c r="AC133">
        <f t="shared" si="5"/>
        <v>0.85716730070211233</v>
      </c>
    </row>
    <row r="134" spans="26:29">
      <c r="Z134">
        <f t="shared" si="3"/>
        <v>1.2812535912766558</v>
      </c>
      <c r="AA134">
        <v>122</v>
      </c>
      <c r="AB134">
        <f t="shared" si="4"/>
        <v>2.1293016874330819</v>
      </c>
      <c r="AC134">
        <f t="shared" si="5"/>
        <v>0.84804809615642607</v>
      </c>
    </row>
    <row r="135" spans="26:29">
      <c r="Z135">
        <f t="shared" si="3"/>
        <v>1.3080844120076014</v>
      </c>
      <c r="AA135">
        <v>123</v>
      </c>
      <c r="AB135">
        <f t="shared" si="4"/>
        <v>2.1467549799530254</v>
      </c>
      <c r="AC135">
        <f t="shared" si="5"/>
        <v>0.83867056794542394</v>
      </c>
    </row>
    <row r="136" spans="26:29">
      <c r="Z136">
        <f t="shared" si="3"/>
        <v>1.3351706999179269</v>
      </c>
      <c r="AA136">
        <v>124</v>
      </c>
      <c r="AB136">
        <f t="shared" si="4"/>
        <v>2.1642082724729685</v>
      </c>
      <c r="AC136">
        <f t="shared" si="5"/>
        <v>0.82903757255504174</v>
      </c>
    </row>
    <row r="137" spans="26:29">
      <c r="Z137">
        <f t="shared" si="3"/>
        <v>1.3625095207039197</v>
      </c>
      <c r="AA137">
        <v>125</v>
      </c>
      <c r="AB137">
        <f t="shared" si="4"/>
        <v>2.1816615649929116</v>
      </c>
      <c r="AC137">
        <f t="shared" si="5"/>
        <v>0.81915204428899202</v>
      </c>
    </row>
    <row r="138" spans="26:29">
      <c r="Z138">
        <f t="shared" si="3"/>
        <v>1.3900978631379077</v>
      </c>
      <c r="AA138">
        <v>126</v>
      </c>
      <c r="AB138">
        <f t="shared" si="4"/>
        <v>2.1991148575128552</v>
      </c>
      <c r="AC138">
        <f t="shared" si="5"/>
        <v>0.80901699437494745</v>
      </c>
    </row>
    <row r="139" spans="26:29">
      <c r="Z139">
        <f t="shared" si="3"/>
        <v>1.4179326399855059</v>
      </c>
      <c r="AA139">
        <v>127</v>
      </c>
      <c r="AB139">
        <f t="shared" si="4"/>
        <v>2.2165681500327987</v>
      </c>
      <c r="AC139">
        <f t="shared" si="5"/>
        <v>0.79863551004729272</v>
      </c>
    </row>
    <row r="140" spans="26:29">
      <c r="Z140">
        <f t="shared" si="3"/>
        <v>1.4460106889460198</v>
      </c>
      <c r="AA140">
        <v>128</v>
      </c>
      <c r="AB140">
        <f t="shared" si="4"/>
        <v>2.2340214425527418</v>
      </c>
      <c r="AC140">
        <f t="shared" si="5"/>
        <v>0.78801075360672201</v>
      </c>
    </row>
    <row r="141" spans="26:29">
      <c r="Z141">
        <f t="shared" ref="Z141:Z204" si="6">AB141-SIN(AB141)</f>
        <v>1.474328773615714</v>
      </c>
      <c r="AA141">
        <v>129</v>
      </c>
      <c r="AB141">
        <f t="shared" ref="AB141:AB204" si="7">AA141*PI()/180</f>
        <v>2.2514747350726849</v>
      </c>
      <c r="AC141">
        <f t="shared" ref="AC141:AC204" si="8">SIN(AB141)</f>
        <v>0.77714596145697101</v>
      </c>
    </row>
    <row r="142" spans="26:29">
      <c r="Z142">
        <f t="shared" si="6"/>
        <v>1.5028835844736506</v>
      </c>
      <c r="AA142">
        <v>130</v>
      </c>
      <c r="AB142">
        <f t="shared" si="7"/>
        <v>2.2689280275926285</v>
      </c>
      <c r="AC142">
        <f t="shared" si="8"/>
        <v>0.76604444311897801</v>
      </c>
    </row>
    <row r="143" spans="26:29">
      <c r="Z143">
        <f t="shared" si="6"/>
        <v>1.5316717398898003</v>
      </c>
      <c r="AA143">
        <v>131</v>
      </c>
      <c r="AB143">
        <f t="shared" si="7"/>
        <v>2.286381320112572</v>
      </c>
      <c r="AC143">
        <f t="shared" si="8"/>
        <v>0.75470958022277179</v>
      </c>
    </row>
    <row r="144" spans="26:29">
      <c r="Z144">
        <f t="shared" si="6"/>
        <v>1.5606897871551209</v>
      </c>
      <c r="AA144">
        <v>132</v>
      </c>
      <c r="AB144">
        <f t="shared" si="7"/>
        <v>2.3038346126325151</v>
      </c>
      <c r="AC144">
        <f t="shared" si="8"/>
        <v>0.74314482547739424</v>
      </c>
    </row>
    <row r="145" spans="26:29">
      <c r="Z145">
        <f t="shared" si="6"/>
        <v>1.5899342035332875</v>
      </c>
      <c r="AA145">
        <v>133</v>
      </c>
      <c r="AB145">
        <f t="shared" si="7"/>
        <v>2.3212879051524582</v>
      </c>
      <c r="AC145">
        <f t="shared" si="8"/>
        <v>0.73135370161917057</v>
      </c>
    </row>
    <row r="146" spans="26:29">
      <c r="Z146">
        <f t="shared" si="6"/>
        <v>1.6194013973337498</v>
      </c>
      <c r="AA146">
        <v>134</v>
      </c>
      <c r="AB146">
        <f t="shared" si="7"/>
        <v>2.3387411976724013</v>
      </c>
      <c r="AC146">
        <f t="shared" si="8"/>
        <v>0.71933980033865141</v>
      </c>
    </row>
    <row r="147" spans="26:29">
      <c r="Z147">
        <f t="shared" si="6"/>
        <v>1.6490877090057974</v>
      </c>
      <c r="AA147">
        <v>135</v>
      </c>
      <c r="AB147">
        <f t="shared" si="7"/>
        <v>2.3561944901923448</v>
      </c>
      <c r="AC147">
        <f t="shared" si="8"/>
        <v>0.70710678118654757</v>
      </c>
    </row>
    <row r="148" spans="26:29">
      <c r="Z148">
        <f t="shared" si="6"/>
        <v>1.6789894122532911</v>
      </c>
      <c r="AA148">
        <v>136</v>
      </c>
      <c r="AB148">
        <f t="shared" si="7"/>
        <v>2.3736477827122884</v>
      </c>
      <c r="AC148">
        <f t="shared" si="8"/>
        <v>0.69465837045899714</v>
      </c>
    </row>
    <row r="149" spans="26:29">
      <c r="Z149">
        <f t="shared" si="6"/>
        <v>1.7091027151697329</v>
      </c>
      <c r="AA149">
        <v>137</v>
      </c>
      <c r="AB149">
        <f t="shared" si="7"/>
        <v>2.3911010752322315</v>
      </c>
      <c r="AC149">
        <f t="shared" si="8"/>
        <v>0.68199836006249859</v>
      </c>
    </row>
    <row r="150" spans="26:29">
      <c r="Z150">
        <f t="shared" si="6"/>
        <v>1.7394237613933163</v>
      </c>
      <c r="AA150">
        <v>138</v>
      </c>
      <c r="AB150">
        <f t="shared" si="7"/>
        <v>2.4085543677521746</v>
      </c>
      <c r="AC150">
        <f t="shared" si="8"/>
        <v>0.66913060635885835</v>
      </c>
    </row>
    <row r="151" spans="26:29">
      <c r="Z151">
        <f t="shared" si="6"/>
        <v>1.7699486312816108</v>
      </c>
      <c r="AA151">
        <v>139</v>
      </c>
      <c r="AB151">
        <f t="shared" si="7"/>
        <v>2.4260076602721181</v>
      </c>
      <c r="AC151">
        <f t="shared" si="8"/>
        <v>0.65605902899050728</v>
      </c>
    </row>
    <row r="152" spans="26:29">
      <c r="Z152">
        <f t="shared" si="6"/>
        <v>1.8006733431055217</v>
      </c>
      <c r="AA152">
        <v>140</v>
      </c>
      <c r="AB152">
        <f t="shared" si="7"/>
        <v>2.4434609527920612</v>
      </c>
      <c r="AC152">
        <f t="shared" si="8"/>
        <v>0.64278760968653947</v>
      </c>
    </row>
    <row r="153" spans="26:29">
      <c r="Z153">
        <f t="shared" si="6"/>
        <v>1.8315938542621666</v>
      </c>
      <c r="AA153">
        <v>141</v>
      </c>
      <c r="AB153">
        <f t="shared" si="7"/>
        <v>2.4609142453120043</v>
      </c>
      <c r="AC153">
        <f t="shared" si="8"/>
        <v>0.62932039104983772</v>
      </c>
    </row>
    <row r="154" spans="26:29">
      <c r="Z154">
        <f t="shared" si="6"/>
        <v>1.8627060625062895</v>
      </c>
      <c r="AA154">
        <v>142</v>
      </c>
      <c r="AB154">
        <f t="shared" si="7"/>
        <v>2.4783675378319479</v>
      </c>
      <c r="AC154">
        <f t="shared" si="8"/>
        <v>0.6156614753256584</v>
      </c>
    </row>
    <row r="155" spans="26:29">
      <c r="Z155">
        <f t="shared" si="6"/>
        <v>1.8940058071998433</v>
      </c>
      <c r="AA155">
        <v>143</v>
      </c>
      <c r="AB155">
        <f t="shared" si="7"/>
        <v>2.4958208303518914</v>
      </c>
      <c r="AC155">
        <f t="shared" si="8"/>
        <v>0.60181502315204816</v>
      </c>
    </row>
    <row r="156" spans="26:29">
      <c r="Z156">
        <f t="shared" si="6"/>
        <v>1.9254888705793611</v>
      </c>
      <c r="AA156">
        <v>144</v>
      </c>
      <c r="AB156">
        <f t="shared" si="7"/>
        <v>2.5132741228718345</v>
      </c>
      <c r="AC156">
        <f t="shared" si="8"/>
        <v>0.58778525229247325</v>
      </c>
    </row>
    <row r="157" spans="26:29">
      <c r="Z157">
        <f t="shared" si="6"/>
        <v>1.9571509790407311</v>
      </c>
      <c r="AA157">
        <v>145</v>
      </c>
      <c r="AB157">
        <f t="shared" si="7"/>
        <v>2.5307274153917776</v>
      </c>
      <c r="AC157">
        <f t="shared" si="8"/>
        <v>0.57357643635104638</v>
      </c>
    </row>
    <row r="158" spans="26:29">
      <c r="Z158">
        <f t="shared" si="6"/>
        <v>1.9889878044409741</v>
      </c>
      <c r="AA158">
        <v>146</v>
      </c>
      <c r="AB158">
        <f t="shared" si="7"/>
        <v>2.5481807079117211</v>
      </c>
      <c r="AC158">
        <f t="shared" si="8"/>
        <v>0.5591929034707469</v>
      </c>
    </row>
    <row r="159" spans="26:29">
      <c r="Z159">
        <f t="shared" si="6"/>
        <v>2.0209949654166377</v>
      </c>
      <c r="AA159">
        <v>147</v>
      </c>
      <c r="AB159">
        <f t="shared" si="7"/>
        <v>2.5656340004316647</v>
      </c>
      <c r="AC159">
        <f t="shared" si="8"/>
        <v>0.54463903501502697</v>
      </c>
    </row>
    <row r="160" spans="26:29">
      <c r="Z160">
        <f t="shared" si="6"/>
        <v>2.0531680287184031</v>
      </c>
      <c r="AA160">
        <v>148</v>
      </c>
      <c r="AB160">
        <f t="shared" si="7"/>
        <v>2.5830872929516078</v>
      </c>
      <c r="AC160">
        <f t="shared" si="8"/>
        <v>0.5299192642332049</v>
      </c>
    </row>
    <row r="161" spans="26:29">
      <c r="Z161">
        <f t="shared" si="6"/>
        <v>2.0855025105614966</v>
      </c>
      <c r="AA161">
        <v>149</v>
      </c>
      <c r="AB161">
        <f t="shared" si="7"/>
        <v>2.6005405854715509</v>
      </c>
      <c r="AC161">
        <f t="shared" si="8"/>
        <v>0.51503807491005438</v>
      </c>
    </row>
    <row r="162" spans="26:29">
      <c r="Z162">
        <f t="shared" si="6"/>
        <v>2.1179938779914944</v>
      </c>
      <c r="AA162">
        <v>150</v>
      </c>
      <c r="AB162">
        <f t="shared" si="7"/>
        <v>2.6179938779914944</v>
      </c>
      <c r="AC162">
        <f t="shared" si="8"/>
        <v>0.49999999999999994</v>
      </c>
    </row>
    <row r="163" spans="26:29">
      <c r="Z163">
        <f t="shared" si="6"/>
        <v>2.1506375502651003</v>
      </c>
      <c r="AA163">
        <v>151</v>
      </c>
      <c r="AB163">
        <f t="shared" si="7"/>
        <v>2.6354471705114375</v>
      </c>
      <c r="AC163">
        <f t="shared" si="8"/>
        <v>0.48480962024633717</v>
      </c>
    </row>
    <row r="164" spans="26:29">
      <c r="Z164">
        <f t="shared" si="6"/>
        <v>2.1834289002454894</v>
      </c>
      <c r="AA164">
        <v>152</v>
      </c>
      <c r="AB164">
        <f t="shared" si="7"/>
        <v>2.6529004630313806</v>
      </c>
      <c r="AC164">
        <f t="shared" si="8"/>
        <v>0.46947156278589108</v>
      </c>
    </row>
    <row r="165" spans="26:29">
      <c r="Z165">
        <f t="shared" si="6"/>
        <v>2.2163632558117774</v>
      </c>
      <c r="AA165">
        <v>153</v>
      </c>
      <c r="AB165">
        <f t="shared" si="7"/>
        <v>2.6703537555513241</v>
      </c>
      <c r="AC165">
        <f t="shared" si="8"/>
        <v>0.45399049973954686</v>
      </c>
    </row>
    <row r="166" spans="26:29">
      <c r="Z166">
        <f t="shared" si="6"/>
        <v>2.2494359012821903</v>
      </c>
      <c r="AA166">
        <v>154</v>
      </c>
      <c r="AB166">
        <f t="shared" si="7"/>
        <v>2.6878070480712677</v>
      </c>
      <c r="AC166">
        <f t="shared" si="8"/>
        <v>0.43837114678907729</v>
      </c>
    </row>
    <row r="167" spans="26:29">
      <c r="Z167">
        <f t="shared" si="6"/>
        <v>2.2826420788505111</v>
      </c>
      <c r="AA167">
        <v>155</v>
      </c>
      <c r="AB167">
        <f t="shared" si="7"/>
        <v>2.7052603405912108</v>
      </c>
      <c r="AC167">
        <f t="shared" si="8"/>
        <v>0.4226182617406995</v>
      </c>
    </row>
    <row r="168" spans="26:29">
      <c r="Z168">
        <f t="shared" si="6"/>
        <v>2.3159769900353533</v>
      </c>
      <c r="AA168">
        <v>156</v>
      </c>
      <c r="AB168">
        <f t="shared" si="7"/>
        <v>2.7227136331111539</v>
      </c>
      <c r="AC168">
        <f t="shared" si="8"/>
        <v>0.40673664307580043</v>
      </c>
    </row>
    <row r="169" spans="26:29">
      <c r="Z169">
        <f t="shared" si="6"/>
        <v>2.3494357971418229</v>
      </c>
      <c r="AA169">
        <v>157</v>
      </c>
      <c r="AB169">
        <f t="shared" si="7"/>
        <v>2.740166925631097</v>
      </c>
      <c r="AC169">
        <f t="shared" si="8"/>
        <v>0.39073112848927416</v>
      </c>
    </row>
    <row r="170" spans="26:29">
      <c r="Z170">
        <f t="shared" si="6"/>
        <v>2.3830136247351281</v>
      </c>
      <c r="AA170">
        <v>158</v>
      </c>
      <c r="AB170">
        <f t="shared" si="7"/>
        <v>2.7576202181510405</v>
      </c>
      <c r="AC170">
        <f t="shared" si="8"/>
        <v>0.37460659341591224</v>
      </c>
    </row>
    <row r="171" spans="26:29">
      <c r="Z171">
        <f t="shared" si="6"/>
        <v>2.416705561125684</v>
      </c>
      <c r="AA171">
        <v>159</v>
      </c>
      <c r="AB171">
        <f t="shared" si="7"/>
        <v>2.7750735106709841</v>
      </c>
      <c r="AC171">
        <f t="shared" si="8"/>
        <v>0.35836794954530021</v>
      </c>
    </row>
    <row r="172" spans="26:29">
      <c r="Z172">
        <f t="shared" si="6"/>
        <v>2.4505066598652583</v>
      </c>
      <c r="AA172">
        <v>160</v>
      </c>
      <c r="AB172">
        <f t="shared" si="7"/>
        <v>2.7925268031909272</v>
      </c>
      <c r="AC172">
        <f t="shared" si="8"/>
        <v>0.34202014332566888</v>
      </c>
    </row>
    <row r="173" spans="26:29">
      <c r="Z173">
        <f t="shared" si="6"/>
        <v>2.4844119412537133</v>
      </c>
      <c r="AA173">
        <v>161</v>
      </c>
      <c r="AB173">
        <f t="shared" si="7"/>
        <v>2.8099800957108703</v>
      </c>
      <c r="AC173">
        <f t="shared" si="8"/>
        <v>0.32556815445715703</v>
      </c>
    </row>
    <row r="174" spans="26:29">
      <c r="Z174">
        <f t="shared" si="6"/>
        <v>2.5184163938558664</v>
      </c>
      <c r="AA174">
        <v>162</v>
      </c>
      <c r="AB174">
        <f t="shared" si="7"/>
        <v>2.8274333882308138</v>
      </c>
      <c r="AC174">
        <f t="shared" si="8"/>
        <v>0.30901699437494751</v>
      </c>
    </row>
    <row r="175" spans="26:29">
      <c r="Z175">
        <f t="shared" si="6"/>
        <v>2.5525149760280197</v>
      </c>
      <c r="AA175">
        <v>163</v>
      </c>
      <c r="AB175">
        <f t="shared" si="7"/>
        <v>2.8448866807507569</v>
      </c>
      <c r="AC175">
        <f t="shared" si="8"/>
        <v>0.29237170472273705</v>
      </c>
    </row>
    <row r="176" spans="26:29">
      <c r="Z176">
        <f t="shared" si="6"/>
        <v>2.5867026174537004</v>
      </c>
      <c r="AA176">
        <v>164</v>
      </c>
      <c r="AB176">
        <f t="shared" si="7"/>
        <v>2.8623399732707</v>
      </c>
      <c r="AC176">
        <f t="shared" si="8"/>
        <v>0.27563735581699966</v>
      </c>
    </row>
    <row r="177" spans="26:29">
      <c r="Z177">
        <f t="shared" si="6"/>
        <v>2.6209742206881224</v>
      </c>
      <c r="AA177">
        <v>165</v>
      </c>
      <c r="AB177">
        <f t="shared" si="7"/>
        <v>2.8797932657906435</v>
      </c>
      <c r="AC177">
        <f t="shared" si="8"/>
        <v>0.25881904510252102</v>
      </c>
    </row>
    <row r="178" spans="26:29">
      <c r="Z178">
        <f t="shared" si="6"/>
        <v>2.6553246627109193</v>
      </c>
      <c r="AA178">
        <v>166</v>
      </c>
      <c r="AB178">
        <f t="shared" si="7"/>
        <v>2.8972465583105871</v>
      </c>
      <c r="AC178">
        <f t="shared" si="8"/>
        <v>0.24192189559966773</v>
      </c>
    </row>
    <row r="179" spans="26:29">
      <c r="Z179">
        <f t="shared" si="6"/>
        <v>2.6897487964866658</v>
      </c>
      <c r="AA179">
        <v>167</v>
      </c>
      <c r="AB179">
        <f t="shared" si="7"/>
        <v>2.9146998508305306</v>
      </c>
      <c r="AC179">
        <f t="shared" si="8"/>
        <v>0.22495105434386478</v>
      </c>
    </row>
    <row r="180" spans="26:29">
      <c r="Z180">
        <f t="shared" si="6"/>
        <v>2.7242414525327145</v>
      </c>
      <c r="AA180">
        <v>168</v>
      </c>
      <c r="AB180">
        <f t="shared" si="7"/>
        <v>2.9321531433504737</v>
      </c>
      <c r="AC180">
        <f t="shared" si="8"/>
        <v>0.20791169081775931</v>
      </c>
    </row>
    <row r="181" spans="26:29">
      <c r="Z181">
        <f t="shared" si="6"/>
        <v>2.758797440493872</v>
      </c>
      <c r="AA181">
        <v>169</v>
      </c>
      <c r="AB181">
        <f t="shared" si="7"/>
        <v>2.9496064358704168</v>
      </c>
      <c r="AC181">
        <f t="shared" si="8"/>
        <v>0.19080899537654497</v>
      </c>
    </row>
    <row r="182" spans="26:29">
      <c r="Z182">
        <f t="shared" si="6"/>
        <v>2.7934115507234303</v>
      </c>
      <c r="AA182">
        <v>170</v>
      </c>
      <c r="AB182">
        <f t="shared" si="7"/>
        <v>2.9670597283903604</v>
      </c>
      <c r="AC182">
        <f t="shared" si="8"/>
        <v>0.17364817766693028</v>
      </c>
    </row>
    <row r="183" spans="26:29">
      <c r="Z183">
        <f t="shared" si="6"/>
        <v>2.8280785558700723</v>
      </c>
      <c r="AA183">
        <v>171</v>
      </c>
      <c r="AB183">
        <f t="shared" si="7"/>
        <v>2.9845130209103035</v>
      </c>
      <c r="AC183">
        <f t="shared" si="8"/>
        <v>0.15643446504023098</v>
      </c>
    </row>
    <row r="184" spans="26:29">
      <c r="Z184">
        <f t="shared" si="6"/>
        <v>2.8627932124701809</v>
      </c>
      <c r="AA184">
        <v>172</v>
      </c>
      <c r="AB184">
        <f t="shared" si="7"/>
        <v>3.0019663134302466</v>
      </c>
      <c r="AC184">
        <f t="shared" si="8"/>
        <v>0.13917310096006574</v>
      </c>
    </row>
    <row r="185" spans="26:29">
      <c r="Z185">
        <f t="shared" si="6"/>
        <v>2.8975502625450424</v>
      </c>
      <c r="AA185">
        <v>173</v>
      </c>
      <c r="AB185">
        <f t="shared" si="7"/>
        <v>3.0194196059501901</v>
      </c>
      <c r="AC185">
        <f t="shared" si="8"/>
        <v>0.12186934340514755</v>
      </c>
    </row>
    <row r="186" spans="26:29">
      <c r="Z186">
        <f t="shared" si="6"/>
        <v>2.9323444352024794</v>
      </c>
      <c r="AA186">
        <v>174</v>
      </c>
      <c r="AB186">
        <f t="shared" si="7"/>
        <v>3.0368728984701332</v>
      </c>
      <c r="AC186">
        <f t="shared" si="8"/>
        <v>0.10452846326765373</v>
      </c>
    </row>
    <row r="187" spans="26:29">
      <c r="Z187">
        <f t="shared" si="6"/>
        <v>2.9671704482424177</v>
      </c>
      <c r="AA187">
        <v>175</v>
      </c>
      <c r="AB187">
        <f t="shared" si="7"/>
        <v>3.0543261909900763</v>
      </c>
      <c r="AC187">
        <f t="shared" si="8"/>
        <v>8.7155742747658638E-2</v>
      </c>
    </row>
    <row r="188" spans="26:29">
      <c r="Z188">
        <f t="shared" si="6"/>
        <v>3.0020230097658942</v>
      </c>
      <c r="AA188">
        <v>176</v>
      </c>
      <c r="AB188">
        <f t="shared" si="7"/>
        <v>3.0717794835100198</v>
      </c>
      <c r="AC188">
        <f t="shared" si="8"/>
        <v>6.9756473744125524E-2</v>
      </c>
    </row>
    <row r="189" spans="26:29">
      <c r="Z189">
        <f t="shared" si="6"/>
        <v>3.0368968197870196</v>
      </c>
      <c r="AA189">
        <v>177</v>
      </c>
      <c r="AB189">
        <f t="shared" si="7"/>
        <v>3.0892327760299634</v>
      </c>
      <c r="AC189">
        <f t="shared" si="8"/>
        <v>5.2335956242943807E-2</v>
      </c>
    </row>
    <row r="190" spans="26:29">
      <c r="Z190">
        <f t="shared" si="6"/>
        <v>3.0717865718474062</v>
      </c>
      <c r="AA190">
        <v>178</v>
      </c>
      <c r="AB190">
        <f t="shared" si="7"/>
        <v>3.1066860685499069</v>
      </c>
      <c r="AC190">
        <f t="shared" si="8"/>
        <v>3.4899496702500699E-2</v>
      </c>
    </row>
    <row r="191" spans="26:29">
      <c r="Z191">
        <f t="shared" si="6"/>
        <v>3.1066869546325666</v>
      </c>
      <c r="AA191">
        <v>179</v>
      </c>
      <c r="AB191">
        <f t="shared" si="7"/>
        <v>3.12413936106985</v>
      </c>
      <c r="AC191">
        <f t="shared" si="8"/>
        <v>1.7452406437283439E-2</v>
      </c>
    </row>
    <row r="192" spans="26:29">
      <c r="Z192">
        <f t="shared" si="6"/>
        <v>3.1415926535897931</v>
      </c>
      <c r="AA192">
        <v>180</v>
      </c>
      <c r="AB192">
        <f t="shared" si="7"/>
        <v>3.1415926535897931</v>
      </c>
      <c r="AC192">
        <f t="shared" si="8"/>
        <v>1.22514845490862E-16</v>
      </c>
    </row>
    <row r="193" spans="26:29">
      <c r="Z193">
        <f t="shared" si="6"/>
        <v>3.1764983525470196</v>
      </c>
      <c r="AA193">
        <v>181</v>
      </c>
      <c r="AB193">
        <f t="shared" si="7"/>
        <v>3.1590459461097362</v>
      </c>
      <c r="AC193">
        <f t="shared" si="8"/>
        <v>-1.7452406437283192E-2</v>
      </c>
    </row>
    <row r="194" spans="26:29">
      <c r="Z194">
        <f t="shared" si="6"/>
        <v>3.2113987353321805</v>
      </c>
      <c r="AA194">
        <v>182</v>
      </c>
      <c r="AB194">
        <f t="shared" si="7"/>
        <v>3.1764992386296798</v>
      </c>
      <c r="AC194">
        <f t="shared" si="8"/>
        <v>-3.48994967025009E-2</v>
      </c>
    </row>
    <row r="195" spans="26:29">
      <c r="Z195">
        <f t="shared" si="6"/>
        <v>3.2462884873925666</v>
      </c>
      <c r="AA195">
        <v>183</v>
      </c>
      <c r="AB195">
        <f t="shared" si="7"/>
        <v>3.1939525311496229</v>
      </c>
      <c r="AC195">
        <f t="shared" si="8"/>
        <v>-5.2335956242943557E-2</v>
      </c>
    </row>
    <row r="196" spans="26:29">
      <c r="Z196">
        <f t="shared" si="6"/>
        <v>3.2811622974136907</v>
      </c>
      <c r="AA196">
        <v>184</v>
      </c>
      <c r="AB196">
        <f t="shared" si="7"/>
        <v>3.211405823669566</v>
      </c>
      <c r="AC196">
        <f t="shared" si="8"/>
        <v>-6.9756473744124831E-2</v>
      </c>
    </row>
    <row r="197" spans="26:29">
      <c r="Z197">
        <f t="shared" si="6"/>
        <v>3.3160148589371676</v>
      </c>
      <c r="AA197">
        <v>185</v>
      </c>
      <c r="AB197">
        <f t="shared" si="7"/>
        <v>3.2288591161895095</v>
      </c>
      <c r="AC197">
        <f t="shared" si="8"/>
        <v>-8.7155742747657944E-2</v>
      </c>
    </row>
    <row r="198" spans="26:29">
      <c r="Z198">
        <f t="shared" si="6"/>
        <v>3.3508408719771055</v>
      </c>
      <c r="AA198">
        <v>186</v>
      </c>
      <c r="AB198">
        <f t="shared" si="7"/>
        <v>3.2463124087094526</v>
      </c>
      <c r="AC198">
        <f t="shared" si="8"/>
        <v>-0.10452846326765305</v>
      </c>
    </row>
    <row r="199" spans="26:29">
      <c r="Z199">
        <f t="shared" si="6"/>
        <v>3.3856350446345442</v>
      </c>
      <c r="AA199">
        <v>187</v>
      </c>
      <c r="AB199">
        <f t="shared" si="7"/>
        <v>3.2637657012293966</v>
      </c>
      <c r="AC199">
        <f t="shared" si="8"/>
        <v>-0.12186934340514774</v>
      </c>
    </row>
    <row r="200" spans="26:29">
      <c r="Z200">
        <f t="shared" si="6"/>
        <v>3.4203920947094053</v>
      </c>
      <c r="AA200">
        <v>188</v>
      </c>
      <c r="AB200">
        <f t="shared" si="7"/>
        <v>3.2812189937493397</v>
      </c>
      <c r="AC200">
        <f t="shared" si="8"/>
        <v>-0.13917310096006552</v>
      </c>
    </row>
    <row r="201" spans="26:29">
      <c r="Z201">
        <f t="shared" si="6"/>
        <v>3.4551067513095135</v>
      </c>
      <c r="AA201">
        <v>189</v>
      </c>
      <c r="AB201">
        <f t="shared" si="7"/>
        <v>3.2986722862692828</v>
      </c>
      <c r="AC201">
        <f t="shared" si="8"/>
        <v>-0.15643446504023073</v>
      </c>
    </row>
    <row r="202" spans="26:29">
      <c r="Z202">
        <f t="shared" si="6"/>
        <v>3.4897737564561568</v>
      </c>
      <c r="AA202">
        <v>190</v>
      </c>
      <c r="AB202">
        <f t="shared" si="7"/>
        <v>3.3161255787892263</v>
      </c>
      <c r="AC202">
        <f t="shared" si="8"/>
        <v>-0.17364817766693047</v>
      </c>
    </row>
    <row r="203" spans="26:29">
      <c r="Z203">
        <f t="shared" si="6"/>
        <v>3.5243878666857142</v>
      </c>
      <c r="AA203">
        <v>191</v>
      </c>
      <c r="AB203">
        <f t="shared" si="7"/>
        <v>3.3335788713091694</v>
      </c>
      <c r="AC203">
        <f t="shared" si="8"/>
        <v>-0.19080899537654472</v>
      </c>
    </row>
    <row r="204" spans="26:29">
      <c r="Z204">
        <f t="shared" si="6"/>
        <v>3.5589438546468717</v>
      </c>
      <c r="AA204">
        <v>192</v>
      </c>
      <c r="AB204">
        <f t="shared" si="7"/>
        <v>3.3510321638291125</v>
      </c>
      <c r="AC204">
        <f t="shared" si="8"/>
        <v>-0.20791169081775907</v>
      </c>
    </row>
    <row r="205" spans="26:29">
      <c r="Z205">
        <f t="shared" ref="Z205:Z268" si="9">AB205-SIN(AB205)</f>
        <v>3.5934365106929209</v>
      </c>
      <c r="AA205">
        <v>193</v>
      </c>
      <c r="AB205">
        <f t="shared" ref="AB205:AB268" si="10">AA205*PI()/180</f>
        <v>3.3684854563490561</v>
      </c>
      <c r="AC205">
        <f t="shared" ref="AC205:AC268" si="11">SIN(AB205)</f>
        <v>-0.22495105434386498</v>
      </c>
    </row>
    <row r="206" spans="26:29">
      <c r="Z206">
        <f t="shared" si="9"/>
        <v>3.6278606444686665</v>
      </c>
      <c r="AA206">
        <v>194</v>
      </c>
      <c r="AB206">
        <f t="shared" si="10"/>
        <v>3.3859387488689991</v>
      </c>
      <c r="AC206">
        <f t="shared" si="11"/>
        <v>-0.24192189559966751</v>
      </c>
    </row>
    <row r="207" spans="26:29">
      <c r="Z207">
        <f t="shared" si="9"/>
        <v>3.6622110864914625</v>
      </c>
      <c r="AA207">
        <v>195</v>
      </c>
      <c r="AB207">
        <f t="shared" si="10"/>
        <v>3.4033920413889422</v>
      </c>
      <c r="AC207">
        <f t="shared" si="11"/>
        <v>-0.25881904510252035</v>
      </c>
    </row>
    <row r="208" spans="26:29">
      <c r="Z208">
        <f t="shared" si="9"/>
        <v>3.6964826897258849</v>
      </c>
      <c r="AA208">
        <v>196</v>
      </c>
      <c r="AB208">
        <f t="shared" si="10"/>
        <v>3.4208453339088858</v>
      </c>
      <c r="AC208">
        <f t="shared" si="11"/>
        <v>-0.275637355816999</v>
      </c>
    </row>
    <row r="209" spans="26:29">
      <c r="Z209">
        <f t="shared" si="9"/>
        <v>3.7306703311515652</v>
      </c>
      <c r="AA209">
        <v>197</v>
      </c>
      <c r="AB209">
        <f t="shared" si="10"/>
        <v>3.4382986264288289</v>
      </c>
      <c r="AC209">
        <f t="shared" si="11"/>
        <v>-0.29237170472273638</v>
      </c>
    </row>
    <row r="210" spans="26:29">
      <c r="Z210">
        <f t="shared" si="9"/>
        <v>3.7647689133237208</v>
      </c>
      <c r="AA210">
        <v>198</v>
      </c>
      <c r="AB210">
        <f t="shared" si="10"/>
        <v>3.4557519189487729</v>
      </c>
      <c r="AC210">
        <f t="shared" si="11"/>
        <v>-0.30901699437494773</v>
      </c>
    </row>
    <row r="211" spans="26:29">
      <c r="Z211">
        <f t="shared" si="9"/>
        <v>3.7987733659258729</v>
      </c>
      <c r="AA211">
        <v>199</v>
      </c>
      <c r="AB211">
        <f t="shared" si="10"/>
        <v>3.473205211468716</v>
      </c>
      <c r="AC211">
        <f t="shared" si="11"/>
        <v>-0.32556815445715676</v>
      </c>
    </row>
    <row r="212" spans="26:29">
      <c r="Z212">
        <f t="shared" si="9"/>
        <v>3.8326786473143279</v>
      </c>
      <c r="AA212">
        <v>200</v>
      </c>
      <c r="AB212">
        <f t="shared" si="10"/>
        <v>3.4906585039886591</v>
      </c>
      <c r="AC212">
        <f t="shared" si="11"/>
        <v>-0.34202014332566866</v>
      </c>
    </row>
    <row r="213" spans="26:29">
      <c r="Z213">
        <f t="shared" si="9"/>
        <v>3.8664797460539031</v>
      </c>
      <c r="AA213">
        <v>201</v>
      </c>
      <c r="AB213">
        <f t="shared" si="10"/>
        <v>3.5081117965086026</v>
      </c>
      <c r="AC213">
        <f t="shared" si="11"/>
        <v>-0.35836794954530043</v>
      </c>
    </row>
    <row r="214" spans="26:29">
      <c r="Z214">
        <f t="shared" si="9"/>
        <v>3.9001716824444577</v>
      </c>
      <c r="AA214">
        <v>202</v>
      </c>
      <c r="AB214">
        <f t="shared" si="10"/>
        <v>3.5255650890285457</v>
      </c>
      <c r="AC214">
        <f t="shared" si="11"/>
        <v>-0.37460659341591201</v>
      </c>
    </row>
    <row r="215" spans="26:29">
      <c r="Z215">
        <f t="shared" si="9"/>
        <v>3.9337495100377624</v>
      </c>
      <c r="AA215">
        <v>203</v>
      </c>
      <c r="AB215">
        <f t="shared" si="10"/>
        <v>3.5430183815484888</v>
      </c>
      <c r="AC215">
        <f t="shared" si="11"/>
        <v>-0.39073112848927355</v>
      </c>
    </row>
    <row r="216" spans="26:29">
      <c r="Z216">
        <f t="shared" si="9"/>
        <v>3.9672083171442316</v>
      </c>
      <c r="AA216">
        <v>204</v>
      </c>
      <c r="AB216">
        <f t="shared" si="10"/>
        <v>3.5604716740684319</v>
      </c>
      <c r="AC216">
        <f t="shared" si="11"/>
        <v>-0.40673664307579982</v>
      </c>
    </row>
    <row r="217" spans="26:29">
      <c r="Z217">
        <f t="shared" si="9"/>
        <v>4.0005432283290752</v>
      </c>
      <c r="AA217">
        <v>205</v>
      </c>
      <c r="AB217">
        <f t="shared" si="10"/>
        <v>3.5779249665883754</v>
      </c>
      <c r="AC217">
        <f t="shared" si="11"/>
        <v>-0.42261826174069927</v>
      </c>
    </row>
    <row r="218" spans="26:29">
      <c r="Z218">
        <f t="shared" si="9"/>
        <v>4.0337494058973959</v>
      </c>
      <c r="AA218">
        <v>206</v>
      </c>
      <c r="AB218">
        <f t="shared" si="10"/>
        <v>3.5953782591083185</v>
      </c>
      <c r="AC218">
        <f t="shared" si="11"/>
        <v>-0.43837114678907707</v>
      </c>
    </row>
    <row r="219" spans="26:29">
      <c r="Z219">
        <f t="shared" si="9"/>
        <v>4.0668220513678079</v>
      </c>
      <c r="AA219">
        <v>207</v>
      </c>
      <c r="AB219">
        <f t="shared" si="10"/>
        <v>3.6128315516282616</v>
      </c>
      <c r="AC219">
        <f t="shared" si="11"/>
        <v>-0.45399049973954625</v>
      </c>
    </row>
    <row r="220" spans="26:29">
      <c r="Z220">
        <f t="shared" si="9"/>
        <v>4.0997564069340964</v>
      </c>
      <c r="AA220">
        <v>208</v>
      </c>
      <c r="AB220">
        <f t="shared" si="10"/>
        <v>3.6302848441482056</v>
      </c>
      <c r="AC220">
        <f t="shared" si="11"/>
        <v>-0.46947156278589086</v>
      </c>
    </row>
    <row r="221" spans="26:29">
      <c r="Z221">
        <f t="shared" si="9"/>
        <v>4.1325477569144855</v>
      </c>
      <c r="AA221">
        <v>209</v>
      </c>
      <c r="AB221">
        <f t="shared" si="10"/>
        <v>3.6477381366681487</v>
      </c>
      <c r="AC221">
        <f t="shared" si="11"/>
        <v>-0.48480962024633695</v>
      </c>
    </row>
    <row r="222" spans="26:29">
      <c r="Z222">
        <f t="shared" si="9"/>
        <v>4.1651914291880923</v>
      </c>
      <c r="AA222">
        <v>210</v>
      </c>
      <c r="AB222">
        <f t="shared" si="10"/>
        <v>3.6651914291880923</v>
      </c>
      <c r="AC222">
        <f t="shared" si="11"/>
        <v>-0.50000000000000011</v>
      </c>
    </row>
    <row r="223" spans="26:29">
      <c r="Z223">
        <f t="shared" si="9"/>
        <v>4.1976827966180892</v>
      </c>
      <c r="AA223">
        <v>211</v>
      </c>
      <c r="AB223">
        <f t="shared" si="10"/>
        <v>3.6826447217080354</v>
      </c>
      <c r="AC223">
        <f t="shared" si="11"/>
        <v>-0.51503807491005416</v>
      </c>
    </row>
    <row r="224" spans="26:29">
      <c r="Z224">
        <f t="shared" si="9"/>
        <v>4.2300172784611831</v>
      </c>
      <c r="AA224">
        <v>212</v>
      </c>
      <c r="AB224">
        <f t="shared" si="10"/>
        <v>3.7000980142279785</v>
      </c>
      <c r="AC224">
        <f t="shared" si="11"/>
        <v>-0.52991926423320479</v>
      </c>
    </row>
    <row r="225" spans="26:29">
      <c r="Z225">
        <f t="shared" si="9"/>
        <v>4.262190341762949</v>
      </c>
      <c r="AA225">
        <v>213</v>
      </c>
      <c r="AB225">
        <f t="shared" si="10"/>
        <v>3.717551306747922</v>
      </c>
      <c r="AC225">
        <f t="shared" si="11"/>
        <v>-0.54463903501502708</v>
      </c>
    </row>
    <row r="226" spans="26:29">
      <c r="Z226">
        <f t="shared" si="9"/>
        <v>4.2941975027386121</v>
      </c>
      <c r="AA226">
        <v>214</v>
      </c>
      <c r="AB226">
        <f t="shared" si="10"/>
        <v>3.7350045992678651</v>
      </c>
      <c r="AC226">
        <f t="shared" si="11"/>
        <v>-0.55919290347074668</v>
      </c>
    </row>
    <row r="227" spans="26:29">
      <c r="Z227">
        <f t="shared" si="9"/>
        <v>4.3260343281388538</v>
      </c>
      <c r="AA227">
        <v>215</v>
      </c>
      <c r="AB227">
        <f t="shared" si="10"/>
        <v>3.7524578917878082</v>
      </c>
      <c r="AC227">
        <f t="shared" si="11"/>
        <v>-0.57357643635104583</v>
      </c>
    </row>
    <row r="228" spans="26:29">
      <c r="Z228">
        <f t="shared" si="9"/>
        <v>4.3576964366002251</v>
      </c>
      <c r="AA228">
        <v>216</v>
      </c>
      <c r="AB228">
        <f t="shared" si="10"/>
        <v>3.7699111843077517</v>
      </c>
      <c r="AC228">
        <f t="shared" si="11"/>
        <v>-0.58778525229247303</v>
      </c>
    </row>
    <row r="229" spans="26:29">
      <c r="Z229">
        <f t="shared" si="9"/>
        <v>4.3891794999797433</v>
      </c>
      <c r="AA229">
        <v>217</v>
      </c>
      <c r="AB229">
        <f t="shared" si="10"/>
        <v>3.7873644768276948</v>
      </c>
      <c r="AC229">
        <f t="shared" si="11"/>
        <v>-0.60181502315204805</v>
      </c>
    </row>
    <row r="230" spans="26:29">
      <c r="Z230">
        <f t="shared" si="9"/>
        <v>4.4204792446732961</v>
      </c>
      <c r="AA230">
        <v>218</v>
      </c>
      <c r="AB230">
        <f t="shared" si="10"/>
        <v>3.8048177693476379</v>
      </c>
      <c r="AC230">
        <f t="shared" si="11"/>
        <v>-0.61566147532565785</v>
      </c>
    </row>
    <row r="231" spans="26:29">
      <c r="Z231">
        <f t="shared" si="9"/>
        <v>4.4515914529174196</v>
      </c>
      <c r="AA231">
        <v>219</v>
      </c>
      <c r="AB231">
        <f t="shared" si="10"/>
        <v>3.8222710618675819</v>
      </c>
      <c r="AC231">
        <f t="shared" si="11"/>
        <v>-0.62932039104983761</v>
      </c>
    </row>
    <row r="232" spans="26:29">
      <c r="Z232">
        <f t="shared" si="9"/>
        <v>4.4825119640740638</v>
      </c>
      <c r="AA232">
        <v>220</v>
      </c>
      <c r="AB232">
        <f t="shared" si="10"/>
        <v>3.839724354387525</v>
      </c>
      <c r="AC232">
        <f t="shared" si="11"/>
        <v>-0.64278760968653925</v>
      </c>
    </row>
    <row r="233" spans="26:29">
      <c r="Z233">
        <f t="shared" si="9"/>
        <v>4.5132366758979758</v>
      </c>
      <c r="AA233">
        <v>221</v>
      </c>
      <c r="AB233">
        <f t="shared" si="10"/>
        <v>3.8571776469074686</v>
      </c>
      <c r="AC233">
        <f t="shared" si="11"/>
        <v>-0.65605902899050739</v>
      </c>
    </row>
    <row r="234" spans="26:29">
      <c r="Z234">
        <f t="shared" si="9"/>
        <v>4.5437615457862695</v>
      </c>
      <c r="AA234">
        <v>222</v>
      </c>
      <c r="AB234">
        <f t="shared" si="10"/>
        <v>3.8746309394274117</v>
      </c>
      <c r="AC234">
        <f t="shared" si="11"/>
        <v>-0.66913060635885824</v>
      </c>
    </row>
    <row r="235" spans="26:29">
      <c r="Z235">
        <f t="shared" si="9"/>
        <v>4.5740825920098533</v>
      </c>
      <c r="AA235">
        <v>223</v>
      </c>
      <c r="AB235">
        <f t="shared" si="10"/>
        <v>3.8920842319473548</v>
      </c>
      <c r="AC235">
        <f t="shared" si="11"/>
        <v>-0.68199836006249837</v>
      </c>
    </row>
    <row r="236" spans="26:29">
      <c r="Z236">
        <f t="shared" si="9"/>
        <v>4.6041958949262956</v>
      </c>
      <c r="AA236">
        <v>224</v>
      </c>
      <c r="AB236">
        <f t="shared" si="10"/>
        <v>3.9095375244672983</v>
      </c>
      <c r="AC236">
        <f t="shared" si="11"/>
        <v>-0.69465837045899737</v>
      </c>
    </row>
    <row r="237" spans="26:29">
      <c r="Z237">
        <f t="shared" si="9"/>
        <v>4.6340975981737884</v>
      </c>
      <c r="AA237">
        <v>225</v>
      </c>
      <c r="AB237">
        <f t="shared" si="10"/>
        <v>3.9269908169872414</v>
      </c>
      <c r="AC237">
        <f t="shared" si="11"/>
        <v>-0.70710678118654746</v>
      </c>
    </row>
    <row r="238" spans="26:29">
      <c r="Z238">
        <f t="shared" si="9"/>
        <v>4.6637839098458356</v>
      </c>
      <c r="AA238">
        <v>226</v>
      </c>
      <c r="AB238">
        <f t="shared" si="10"/>
        <v>3.9444441095071845</v>
      </c>
      <c r="AC238">
        <f t="shared" si="11"/>
        <v>-0.71933980033865086</v>
      </c>
    </row>
    <row r="239" spans="26:29">
      <c r="Z239">
        <f t="shared" si="9"/>
        <v>4.6932511036462978</v>
      </c>
      <c r="AA239">
        <v>227</v>
      </c>
      <c r="AB239">
        <f t="shared" si="10"/>
        <v>3.9618974020271276</v>
      </c>
      <c r="AC239">
        <f t="shared" si="11"/>
        <v>-0.73135370161917013</v>
      </c>
    </row>
    <row r="240" spans="26:29">
      <c r="Z240">
        <f t="shared" si="9"/>
        <v>4.7224955200244647</v>
      </c>
      <c r="AA240">
        <v>228</v>
      </c>
      <c r="AB240">
        <f t="shared" si="10"/>
        <v>3.9793506945470711</v>
      </c>
      <c r="AC240">
        <f t="shared" si="11"/>
        <v>-0.74314482547739402</v>
      </c>
    </row>
    <row r="241" spans="26:29">
      <c r="Z241">
        <f t="shared" si="9"/>
        <v>4.7515135672897859</v>
      </c>
      <c r="AA241">
        <v>229</v>
      </c>
      <c r="AB241">
        <f t="shared" si="10"/>
        <v>3.9968039870670142</v>
      </c>
      <c r="AC241">
        <f t="shared" si="11"/>
        <v>-0.75470958022277168</v>
      </c>
    </row>
    <row r="242" spans="26:29">
      <c r="Z242">
        <f t="shared" si="9"/>
        <v>4.7803017227059357</v>
      </c>
      <c r="AA242">
        <v>230</v>
      </c>
      <c r="AB242">
        <f t="shared" si="10"/>
        <v>4.0142572795869578</v>
      </c>
      <c r="AC242">
        <f t="shared" si="11"/>
        <v>-0.7660444431189779</v>
      </c>
    </row>
    <row r="243" spans="26:29">
      <c r="Z243">
        <f t="shared" si="9"/>
        <v>4.8088565335638727</v>
      </c>
      <c r="AA243">
        <v>231</v>
      </c>
      <c r="AB243">
        <f t="shared" si="10"/>
        <v>4.0317105721069018</v>
      </c>
      <c r="AC243">
        <f t="shared" si="11"/>
        <v>-0.77714596145697112</v>
      </c>
    </row>
    <row r="244" spans="26:29">
      <c r="Z244">
        <f t="shared" si="9"/>
        <v>4.8371746182335666</v>
      </c>
      <c r="AA244">
        <v>232</v>
      </c>
      <c r="AB244">
        <f t="shared" si="10"/>
        <v>4.0491638646268449</v>
      </c>
      <c r="AC244">
        <f t="shared" si="11"/>
        <v>-0.78801075360672213</v>
      </c>
    </row>
    <row r="245" spans="26:29">
      <c r="Z245">
        <f t="shared" si="9"/>
        <v>4.8652526671940812</v>
      </c>
      <c r="AA245">
        <v>233</v>
      </c>
      <c r="AB245">
        <f t="shared" si="10"/>
        <v>4.066617157146788</v>
      </c>
      <c r="AC245">
        <f t="shared" si="11"/>
        <v>-0.79863551004729283</v>
      </c>
    </row>
    <row r="246" spans="26:29">
      <c r="Z246">
        <f t="shared" si="9"/>
        <v>4.8930874440416785</v>
      </c>
      <c r="AA246">
        <v>234</v>
      </c>
      <c r="AB246">
        <f t="shared" si="10"/>
        <v>4.0840704496667311</v>
      </c>
      <c r="AC246">
        <f t="shared" si="11"/>
        <v>-0.80901699437494734</v>
      </c>
    </row>
    <row r="247" spans="26:29">
      <c r="Z247">
        <f t="shared" si="9"/>
        <v>4.9206757864756661</v>
      </c>
      <c r="AA247">
        <v>235</v>
      </c>
      <c r="AB247">
        <f t="shared" si="10"/>
        <v>4.1015237421866741</v>
      </c>
      <c r="AC247">
        <f t="shared" si="11"/>
        <v>-0.81915204428899158</v>
      </c>
    </row>
    <row r="248" spans="26:29">
      <c r="Z248">
        <f t="shared" si="9"/>
        <v>4.9480146072616584</v>
      </c>
      <c r="AA248">
        <v>236</v>
      </c>
      <c r="AB248">
        <f t="shared" si="10"/>
        <v>4.1189770347066172</v>
      </c>
      <c r="AC248">
        <f t="shared" si="11"/>
        <v>-0.8290375725550414</v>
      </c>
    </row>
    <row r="249" spans="26:29">
      <c r="Z249">
        <f t="shared" si="9"/>
        <v>4.9751008951719857</v>
      </c>
      <c r="AA249">
        <v>237</v>
      </c>
      <c r="AB249">
        <f t="shared" si="10"/>
        <v>4.1364303272265612</v>
      </c>
      <c r="AC249">
        <f t="shared" si="11"/>
        <v>-0.83867056794542405</v>
      </c>
    </row>
    <row r="250" spans="26:29">
      <c r="Z250">
        <f t="shared" si="9"/>
        <v>5.0019317159029306</v>
      </c>
      <c r="AA250">
        <v>238</v>
      </c>
      <c r="AB250">
        <f t="shared" si="10"/>
        <v>4.1538836197465043</v>
      </c>
      <c r="AC250">
        <f t="shared" si="11"/>
        <v>-0.84804809615642596</v>
      </c>
    </row>
    <row r="251" spans="26:29">
      <c r="Z251">
        <f t="shared" si="9"/>
        <v>5.02850421296856</v>
      </c>
      <c r="AA251">
        <v>239</v>
      </c>
      <c r="AB251">
        <f t="shared" si="10"/>
        <v>4.1713369122664474</v>
      </c>
      <c r="AC251">
        <f t="shared" si="11"/>
        <v>-0.85716730070211211</v>
      </c>
    </row>
    <row r="252" spans="26:29">
      <c r="Z252">
        <f t="shared" si="9"/>
        <v>5.0548156085708289</v>
      </c>
      <c r="AA252">
        <v>240</v>
      </c>
      <c r="AB252">
        <f t="shared" si="10"/>
        <v>4.1887902047863905</v>
      </c>
      <c r="AC252">
        <f t="shared" si="11"/>
        <v>-0.86602540378443837</v>
      </c>
    </row>
    <row r="253" spans="26:29">
      <c r="Z253">
        <f t="shared" si="9"/>
        <v>5.0808632044457305</v>
      </c>
      <c r="AA253">
        <v>241</v>
      </c>
      <c r="AB253">
        <f t="shared" si="10"/>
        <v>4.2062434973063345</v>
      </c>
      <c r="AC253">
        <f t="shared" si="11"/>
        <v>-0.87461970713939596</v>
      </c>
    </row>
    <row r="254" spans="26:29">
      <c r="Z254">
        <f t="shared" si="9"/>
        <v>5.1066443826852046</v>
      </c>
      <c r="AA254">
        <v>242</v>
      </c>
      <c r="AB254">
        <f t="shared" si="10"/>
        <v>4.2236967898262776</v>
      </c>
      <c r="AC254">
        <f t="shared" si="11"/>
        <v>-0.88294759285892699</v>
      </c>
    </row>
    <row r="255" spans="26:29">
      <c r="Z255">
        <f t="shared" si="9"/>
        <v>5.1321566065345881</v>
      </c>
      <c r="AA255">
        <v>243</v>
      </c>
      <c r="AB255">
        <f t="shared" si="10"/>
        <v>4.2411500823462207</v>
      </c>
      <c r="AC255">
        <f t="shared" si="11"/>
        <v>-0.89100652418836779</v>
      </c>
    </row>
    <row r="256" spans="26:29">
      <c r="Z256">
        <f t="shared" si="9"/>
        <v>5.1573974211653306</v>
      </c>
      <c r="AA256">
        <v>244</v>
      </c>
      <c r="AB256">
        <f t="shared" si="10"/>
        <v>4.2586033748661638</v>
      </c>
      <c r="AC256">
        <f t="shared" si="11"/>
        <v>-0.89879404629916682</v>
      </c>
    </row>
    <row r="257" spans="26:29">
      <c r="Z257">
        <f t="shared" si="9"/>
        <v>5.1823644544227569</v>
      </c>
      <c r="AA257">
        <v>245</v>
      </c>
      <c r="AB257">
        <f t="shared" si="10"/>
        <v>4.2760566673861069</v>
      </c>
      <c r="AC257">
        <f t="shared" si="11"/>
        <v>-0.90630778703664971</v>
      </c>
    </row>
    <row r="258" spans="26:29">
      <c r="Z258">
        <f t="shared" si="9"/>
        <v>5.2070554175486521</v>
      </c>
      <c r="AA258">
        <v>246</v>
      </c>
      <c r="AB258">
        <f t="shared" si="10"/>
        <v>4.2935099599060509</v>
      </c>
      <c r="AC258">
        <f t="shared" si="11"/>
        <v>-0.91354545764260098</v>
      </c>
    </row>
    <row r="259" spans="26:29">
      <c r="Z259">
        <f t="shared" si="9"/>
        <v>5.2314681058784345</v>
      </c>
      <c r="AA259">
        <v>247</v>
      </c>
      <c r="AB259">
        <f t="shared" si="10"/>
        <v>4.310963252425994</v>
      </c>
      <c r="AC259">
        <f t="shared" si="11"/>
        <v>-0.92050485345244026</v>
      </c>
    </row>
    <row r="260" spans="26:29">
      <c r="Z260">
        <f t="shared" si="9"/>
        <v>5.2556003995127245</v>
      </c>
      <c r="AA260">
        <v>248</v>
      </c>
      <c r="AB260">
        <f t="shared" si="10"/>
        <v>4.3284165449459371</v>
      </c>
      <c r="AC260">
        <f t="shared" si="11"/>
        <v>-0.92718385456678731</v>
      </c>
    </row>
    <row r="261" spans="26:29">
      <c r="Z261">
        <f t="shared" si="9"/>
        <v>5.2794502639630814</v>
      </c>
      <c r="AA261">
        <v>249</v>
      </c>
      <c r="AB261">
        <f t="shared" si="10"/>
        <v>4.3458698374658802</v>
      </c>
      <c r="AC261">
        <f t="shared" si="11"/>
        <v>-0.93358042649720163</v>
      </c>
    </row>
    <row r="262" spans="26:29">
      <c r="Z262">
        <f t="shared" si="9"/>
        <v>5.3030157507717313</v>
      </c>
      <c r="AA262">
        <v>250</v>
      </c>
      <c r="AB262">
        <f t="shared" si="10"/>
        <v>4.3633231299858233</v>
      </c>
      <c r="AC262">
        <f t="shared" si="11"/>
        <v>-0.93969262078590821</v>
      </c>
    </row>
    <row r="263" spans="26:29">
      <c r="Z263">
        <f t="shared" si="9"/>
        <v>5.3262949981050838</v>
      </c>
      <c r="AA263">
        <v>251</v>
      </c>
      <c r="AB263">
        <f t="shared" si="10"/>
        <v>4.3807764225057673</v>
      </c>
      <c r="AC263">
        <f t="shared" si="11"/>
        <v>-0.94551857559931685</v>
      </c>
    </row>
    <row r="264" spans="26:29">
      <c r="Z264">
        <f t="shared" si="9"/>
        <v>5.349286231320864</v>
      </c>
      <c r="AA264">
        <v>252</v>
      </c>
      <c r="AB264">
        <f t="shared" si="10"/>
        <v>4.3982297150257104</v>
      </c>
      <c r="AC264">
        <f t="shared" si="11"/>
        <v>-0.95105651629515353</v>
      </c>
    </row>
    <row r="265" spans="26:29">
      <c r="Z265">
        <f t="shared" si="9"/>
        <v>5.371987763508689</v>
      </c>
      <c r="AA265">
        <v>253</v>
      </c>
      <c r="AB265">
        <f t="shared" si="10"/>
        <v>4.4156830075456535</v>
      </c>
      <c r="AC265">
        <f t="shared" si="11"/>
        <v>-0.95630475596303532</v>
      </c>
    </row>
    <row r="266" spans="26:29">
      <c r="Z266">
        <f t="shared" si="9"/>
        <v>5.3943979960039163</v>
      </c>
      <c r="AA266">
        <v>254</v>
      </c>
      <c r="AB266">
        <f t="shared" si="10"/>
        <v>4.4331363000655974</v>
      </c>
      <c r="AC266">
        <f t="shared" si="11"/>
        <v>-0.96126169593831901</v>
      </c>
    </row>
    <row r="267" spans="26:29">
      <c r="Z267">
        <f t="shared" si="9"/>
        <v>5.4165154188746092</v>
      </c>
      <c r="AA267">
        <v>255</v>
      </c>
      <c r="AB267">
        <f t="shared" si="10"/>
        <v>4.4505895925855405</v>
      </c>
      <c r="AC267">
        <f t="shared" si="11"/>
        <v>-0.96592582628906831</v>
      </c>
    </row>
    <row r="268" spans="26:29">
      <c r="Z268">
        <f t="shared" si="9"/>
        <v>5.4383386113814804</v>
      </c>
      <c r="AA268">
        <v>256</v>
      </c>
      <c r="AB268">
        <f t="shared" si="10"/>
        <v>4.4680428851054836</v>
      </c>
      <c r="AC268">
        <f t="shared" si="11"/>
        <v>-0.97029572627599647</v>
      </c>
    </row>
    <row r="269" spans="26:29">
      <c r="Z269">
        <f t="shared" ref="Z269:Z332" si="12">AB269-SIN(AB269)</f>
        <v>5.4598662424106621</v>
      </c>
      <c r="AA269">
        <v>257</v>
      </c>
      <c r="AB269">
        <f t="shared" ref="AB269:AB332" si="13">AA269*PI()/180</f>
        <v>4.4854961776254267</v>
      </c>
      <c r="AC269">
        <f t="shared" ref="AC269:AC332" si="14">SIN(AB269)</f>
        <v>-0.97437006478523513</v>
      </c>
    </row>
    <row r="270" spans="26:29">
      <c r="Z270">
        <f t="shared" si="12"/>
        <v>5.4810970708791755</v>
      </c>
      <c r="AA270">
        <v>258</v>
      </c>
      <c r="AB270">
        <f t="shared" si="13"/>
        <v>4.5029494701453698</v>
      </c>
      <c r="AC270">
        <f t="shared" si="14"/>
        <v>-0.97814760073380558</v>
      </c>
    </row>
    <row r="271" spans="26:29">
      <c r="Z271">
        <f t="shared" si="12"/>
        <v>5.5020299461129767</v>
      </c>
      <c r="AA271">
        <v>259</v>
      </c>
      <c r="AB271">
        <f t="shared" si="13"/>
        <v>4.5204027626653129</v>
      </c>
      <c r="AC271">
        <f t="shared" si="14"/>
        <v>-0.98162718344766386</v>
      </c>
    </row>
    <row r="272" spans="26:29">
      <c r="Z272">
        <f t="shared" si="12"/>
        <v>5.5226638081974651</v>
      </c>
      <c r="AA272">
        <v>260</v>
      </c>
      <c r="AB272">
        <f t="shared" si="13"/>
        <v>4.5378560551852569</v>
      </c>
      <c r="AC272">
        <f t="shared" si="14"/>
        <v>-0.98480775301220802</v>
      </c>
    </row>
    <row r="273" spans="26:29">
      <c r="Z273">
        <f t="shared" si="12"/>
        <v>5.5429976883003373</v>
      </c>
      <c r="AA273">
        <v>261</v>
      </c>
      <c r="AB273">
        <f t="shared" si="13"/>
        <v>4.5553093477052</v>
      </c>
      <c r="AC273">
        <f t="shared" si="14"/>
        <v>-0.98768834059513766</v>
      </c>
    </row>
    <row r="274" spans="26:29">
      <c r="Z274">
        <f t="shared" si="12"/>
        <v>5.5630307089667141</v>
      </c>
      <c r="AA274">
        <v>262</v>
      </c>
      <c r="AB274">
        <f t="shared" si="13"/>
        <v>4.572762640225144</v>
      </c>
      <c r="AC274">
        <f t="shared" si="14"/>
        <v>-0.99026806874157036</v>
      </c>
    </row>
    <row r="275" spans="26:29">
      <c r="Z275">
        <f t="shared" si="12"/>
        <v>5.5827620843864096</v>
      </c>
      <c r="AA275">
        <v>263</v>
      </c>
      <c r="AB275">
        <f t="shared" si="13"/>
        <v>4.5902159327450871</v>
      </c>
      <c r="AC275">
        <f t="shared" si="14"/>
        <v>-0.99254615164132209</v>
      </c>
    </row>
    <row r="276" spans="26:29">
      <c r="Z276">
        <f t="shared" si="12"/>
        <v>5.6021911206333037</v>
      </c>
      <c r="AA276">
        <v>264</v>
      </c>
      <c r="AB276">
        <f t="shared" si="13"/>
        <v>4.6076692252650302</v>
      </c>
      <c r="AC276">
        <f t="shared" si="14"/>
        <v>-0.9945218953682734</v>
      </c>
    </row>
    <row r="277" spans="26:29">
      <c r="Z277">
        <f t="shared" si="12"/>
        <v>5.6213172158767186</v>
      </c>
      <c r="AA277">
        <v>265</v>
      </c>
      <c r="AB277">
        <f t="shared" si="13"/>
        <v>4.6251225177849733</v>
      </c>
      <c r="AC277">
        <f t="shared" si="14"/>
        <v>-0.99619469809174555</v>
      </c>
    </row>
    <row r="278" spans="26:29">
      <c r="Z278">
        <f t="shared" si="12"/>
        <v>5.6401398605647408</v>
      </c>
      <c r="AA278">
        <v>266</v>
      </c>
      <c r="AB278">
        <f t="shared" si="13"/>
        <v>4.6425758103049164</v>
      </c>
      <c r="AC278">
        <f t="shared" si="14"/>
        <v>-0.9975640502598242</v>
      </c>
    </row>
    <row r="279" spans="26:29">
      <c r="Z279">
        <f t="shared" si="12"/>
        <v>5.6586586375794337</v>
      </c>
      <c r="AA279">
        <v>267</v>
      </c>
      <c r="AB279">
        <f t="shared" si="13"/>
        <v>4.6600291028248595</v>
      </c>
      <c r="AC279">
        <f t="shared" si="14"/>
        <v>-0.99862953475457383</v>
      </c>
    </row>
    <row r="280" spans="26:29">
      <c r="Z280">
        <f t="shared" si="12"/>
        <v>5.6768732223638985</v>
      </c>
      <c r="AA280">
        <v>268</v>
      </c>
      <c r="AB280">
        <f t="shared" si="13"/>
        <v>4.6774823953448026</v>
      </c>
      <c r="AC280">
        <f t="shared" si="14"/>
        <v>-0.99939082701909565</v>
      </c>
    </row>
    <row r="281" spans="26:29">
      <c r="Z281">
        <f t="shared" si="12"/>
        <v>5.6947833830211376</v>
      </c>
      <c r="AA281">
        <v>269</v>
      </c>
      <c r="AB281">
        <f t="shared" si="13"/>
        <v>4.6949356878647466</v>
      </c>
      <c r="AC281">
        <f t="shared" si="14"/>
        <v>-0.99984769515639127</v>
      </c>
    </row>
    <row r="282" spans="26:29">
      <c r="Z282">
        <f t="shared" si="12"/>
        <v>5.7123889803846897</v>
      </c>
      <c r="AA282">
        <v>270</v>
      </c>
      <c r="AB282">
        <f t="shared" si="13"/>
        <v>4.7123889803846897</v>
      </c>
      <c r="AC282">
        <f t="shared" si="14"/>
        <v>-1</v>
      </c>
    </row>
    <row r="283" spans="26:29">
      <c r="Z283">
        <f t="shared" si="12"/>
        <v>5.7296899680610238</v>
      </c>
      <c r="AA283">
        <v>271</v>
      </c>
      <c r="AB283">
        <f t="shared" si="13"/>
        <v>4.7298422729046328</v>
      </c>
      <c r="AC283">
        <f t="shared" si="14"/>
        <v>-0.99984769515639127</v>
      </c>
    </row>
    <row r="284" spans="26:29">
      <c r="Z284">
        <f t="shared" si="12"/>
        <v>5.7466863924436726</v>
      </c>
      <c r="AA284">
        <v>272</v>
      </c>
      <c r="AB284">
        <f t="shared" si="13"/>
        <v>4.7472955654245768</v>
      </c>
      <c r="AC284">
        <f t="shared" si="14"/>
        <v>-0.99939082701909576</v>
      </c>
    </row>
    <row r="285" spans="26:29">
      <c r="Z285">
        <f t="shared" si="12"/>
        <v>5.763378392699094</v>
      </c>
      <c r="AA285">
        <v>273</v>
      </c>
      <c r="AB285">
        <f t="shared" si="13"/>
        <v>4.7647488579445199</v>
      </c>
      <c r="AC285">
        <f t="shared" si="14"/>
        <v>-0.99862953475457383</v>
      </c>
    </row>
    <row r="286" spans="26:29">
      <c r="Z286">
        <f t="shared" si="12"/>
        <v>5.7797662007242874</v>
      </c>
      <c r="AA286">
        <v>274</v>
      </c>
      <c r="AB286">
        <f t="shared" si="13"/>
        <v>4.782202150464463</v>
      </c>
      <c r="AC286">
        <f t="shared" si="14"/>
        <v>-0.99756405025982431</v>
      </c>
    </row>
    <row r="287" spans="26:29">
      <c r="Z287">
        <f t="shared" si="12"/>
        <v>5.7958501410761514</v>
      </c>
      <c r="AA287">
        <v>275</v>
      </c>
      <c r="AB287">
        <f t="shared" si="13"/>
        <v>4.7996554429844061</v>
      </c>
      <c r="AC287">
        <f t="shared" si="14"/>
        <v>-0.99619469809174555</v>
      </c>
    </row>
    <row r="288" spans="26:29">
      <c r="Z288">
        <f t="shared" si="12"/>
        <v>5.8116306308726227</v>
      </c>
      <c r="AA288">
        <v>276</v>
      </c>
      <c r="AB288">
        <f t="shared" si="13"/>
        <v>4.8171087355043491</v>
      </c>
      <c r="AC288">
        <f t="shared" si="14"/>
        <v>-0.9945218953682734</v>
      </c>
    </row>
    <row r="289" spans="26:29">
      <c r="Z289">
        <f t="shared" si="12"/>
        <v>5.8271081796656148</v>
      </c>
      <c r="AA289">
        <v>277</v>
      </c>
      <c r="AB289">
        <f t="shared" si="13"/>
        <v>4.8345620280242931</v>
      </c>
      <c r="AC289">
        <f t="shared" si="14"/>
        <v>-0.99254615164132198</v>
      </c>
    </row>
    <row r="290" spans="26:29">
      <c r="Z290">
        <f t="shared" si="12"/>
        <v>5.8422833892858064</v>
      </c>
      <c r="AA290">
        <v>278</v>
      </c>
      <c r="AB290">
        <f t="shared" si="13"/>
        <v>4.8520153205442362</v>
      </c>
      <c r="AC290">
        <f t="shared" si="14"/>
        <v>-0.99026806874157036</v>
      </c>
    </row>
    <row r="291" spans="26:29">
      <c r="Z291">
        <f t="shared" si="12"/>
        <v>5.8571569536593167</v>
      </c>
      <c r="AA291">
        <v>279</v>
      </c>
      <c r="AB291">
        <f t="shared" si="13"/>
        <v>4.8694686130641793</v>
      </c>
      <c r="AC291">
        <f t="shared" si="14"/>
        <v>-0.98768834059513777</v>
      </c>
    </row>
    <row r="292" spans="26:29">
      <c r="Z292">
        <f t="shared" si="12"/>
        <v>5.8717296585963306</v>
      </c>
      <c r="AA292">
        <v>280</v>
      </c>
      <c r="AB292">
        <f t="shared" si="13"/>
        <v>4.8869219055841224</v>
      </c>
      <c r="AC292">
        <f t="shared" si="14"/>
        <v>-0.98480775301220813</v>
      </c>
    </row>
    <row r="293" spans="26:29">
      <c r="Z293">
        <f t="shared" si="12"/>
        <v>5.8860023815517293</v>
      </c>
      <c r="AA293">
        <v>281</v>
      </c>
      <c r="AB293">
        <f t="shared" si="13"/>
        <v>4.9043751981040655</v>
      </c>
      <c r="AC293">
        <f t="shared" si="14"/>
        <v>-0.98162718344766409</v>
      </c>
    </row>
    <row r="294" spans="26:29">
      <c r="Z294">
        <f t="shared" si="12"/>
        <v>5.8999760913578143</v>
      </c>
      <c r="AA294">
        <v>282</v>
      </c>
      <c r="AB294">
        <f t="shared" si="13"/>
        <v>4.9218284906240086</v>
      </c>
      <c r="AC294">
        <f t="shared" si="14"/>
        <v>-0.9781476007338058</v>
      </c>
    </row>
    <row r="295" spans="26:29">
      <c r="Z295">
        <f t="shared" si="12"/>
        <v>5.913651847929188</v>
      </c>
      <c r="AA295">
        <v>283</v>
      </c>
      <c r="AB295">
        <f t="shared" si="13"/>
        <v>4.9392817831439526</v>
      </c>
      <c r="AC295">
        <f t="shared" si="14"/>
        <v>-0.97437006478523525</v>
      </c>
    </row>
    <row r="296" spans="26:29">
      <c r="Z296">
        <f t="shared" si="12"/>
        <v>5.9270308019398925</v>
      </c>
      <c r="AA296">
        <v>284</v>
      </c>
      <c r="AB296">
        <f t="shared" si="13"/>
        <v>4.9567350756638957</v>
      </c>
      <c r="AC296">
        <f t="shared" si="14"/>
        <v>-0.97029572627599658</v>
      </c>
    </row>
    <row r="297" spans="26:29">
      <c r="Z297">
        <f t="shared" si="12"/>
        <v>5.9401141944729083</v>
      </c>
      <c r="AA297">
        <v>285</v>
      </c>
      <c r="AB297">
        <f t="shared" si="13"/>
        <v>4.9741883681838397</v>
      </c>
      <c r="AC297">
        <f t="shared" si="14"/>
        <v>-0.9659258262890682</v>
      </c>
    </row>
    <row r="298" spans="26:29">
      <c r="Z298">
        <f t="shared" si="12"/>
        <v>5.9529033566421017</v>
      </c>
      <c r="AA298">
        <v>286</v>
      </c>
      <c r="AB298">
        <f t="shared" si="13"/>
        <v>4.9916416607037828</v>
      </c>
      <c r="AC298">
        <f t="shared" si="14"/>
        <v>-0.96126169593831878</v>
      </c>
    </row>
    <row r="299" spans="26:29">
      <c r="Z299">
        <f t="shared" si="12"/>
        <v>5.9653997091867614</v>
      </c>
      <c r="AA299">
        <v>287</v>
      </c>
      <c r="AB299">
        <f t="shared" si="13"/>
        <v>5.0090949532237259</v>
      </c>
      <c r="AC299">
        <f t="shared" si="14"/>
        <v>-0.95630475596303544</v>
      </c>
    </row>
    <row r="300" spans="26:29">
      <c r="Z300">
        <f t="shared" si="12"/>
        <v>5.9776047620388226</v>
      </c>
      <c r="AA300">
        <v>288</v>
      </c>
      <c r="AB300">
        <f t="shared" si="13"/>
        <v>5.026548245743669</v>
      </c>
      <c r="AC300">
        <f t="shared" si="14"/>
        <v>-0.95105651629515364</v>
      </c>
    </row>
    <row r="301" spans="26:29">
      <c r="Z301">
        <f t="shared" si="12"/>
        <v>5.9895201138629286</v>
      </c>
      <c r="AA301">
        <v>289</v>
      </c>
      <c r="AB301">
        <f t="shared" si="13"/>
        <v>5.0440015382636121</v>
      </c>
      <c r="AC301">
        <f t="shared" si="14"/>
        <v>-0.94551857559931696</v>
      </c>
    </row>
    <row r="302" spans="26:29">
      <c r="Z302">
        <f t="shared" si="12"/>
        <v>6.0011474515694641</v>
      </c>
      <c r="AA302">
        <v>290</v>
      </c>
      <c r="AB302">
        <f t="shared" si="13"/>
        <v>5.0614548307835552</v>
      </c>
      <c r="AC302">
        <f t="shared" si="14"/>
        <v>-0.93969262078590854</v>
      </c>
    </row>
    <row r="303" spans="26:29">
      <c r="Z303">
        <f t="shared" si="12"/>
        <v>6.0124885498007004</v>
      </c>
      <c r="AA303">
        <v>291</v>
      </c>
      <c r="AB303">
        <f t="shared" si="13"/>
        <v>5.0789081233034983</v>
      </c>
      <c r="AC303">
        <f t="shared" si="14"/>
        <v>-0.93358042649720208</v>
      </c>
    </row>
    <row r="304" spans="26:29">
      <c r="Z304">
        <f t="shared" si="12"/>
        <v>6.0235452703902297</v>
      </c>
      <c r="AA304">
        <v>292</v>
      </c>
      <c r="AB304">
        <f t="shared" si="13"/>
        <v>5.0963614158234423</v>
      </c>
      <c r="AC304">
        <f t="shared" si="14"/>
        <v>-0.92718385456678742</v>
      </c>
    </row>
    <row r="305" spans="26:29">
      <c r="Z305">
        <f t="shared" si="12"/>
        <v>6.0343195617958258</v>
      </c>
      <c r="AA305">
        <v>293</v>
      </c>
      <c r="AB305">
        <f t="shared" si="13"/>
        <v>5.1138147083433854</v>
      </c>
      <c r="AC305">
        <f t="shared" si="14"/>
        <v>-0.92050485345244049</v>
      </c>
    </row>
    <row r="306" spans="26:29">
      <c r="Z306">
        <f t="shared" si="12"/>
        <v>6.0448134585059297</v>
      </c>
      <c r="AA306">
        <v>294</v>
      </c>
      <c r="AB306">
        <f t="shared" si="13"/>
        <v>5.1312680008633293</v>
      </c>
      <c r="AC306">
        <f t="shared" si="14"/>
        <v>-0.91354545764260076</v>
      </c>
    </row>
    <row r="307" spans="26:29">
      <c r="Z307">
        <f t="shared" si="12"/>
        <v>6.0550290804199225</v>
      </c>
      <c r="AA307">
        <v>295</v>
      </c>
      <c r="AB307">
        <f t="shared" si="13"/>
        <v>5.1487212933832724</v>
      </c>
      <c r="AC307">
        <f t="shared" si="14"/>
        <v>-0.90630778703664994</v>
      </c>
    </row>
    <row r="308" spans="26:29">
      <c r="Z308">
        <f t="shared" si="12"/>
        <v>6.0649686322023824</v>
      </c>
      <c r="AA308">
        <v>296</v>
      </c>
      <c r="AB308">
        <f t="shared" si="13"/>
        <v>5.1661745859032155</v>
      </c>
      <c r="AC308">
        <f t="shared" si="14"/>
        <v>-0.89879404629916704</v>
      </c>
    </row>
    <row r="309" spans="26:29">
      <c r="Z309">
        <f t="shared" si="12"/>
        <v>6.0746344026115269</v>
      </c>
      <c r="AA309">
        <v>297</v>
      </c>
      <c r="AB309">
        <f t="shared" si="13"/>
        <v>5.1836278784231586</v>
      </c>
      <c r="AC309">
        <f t="shared" si="14"/>
        <v>-0.8910065241883679</v>
      </c>
    </row>
    <row r="310" spans="26:29">
      <c r="Z310">
        <f t="shared" si="12"/>
        <v>6.0840287638020287</v>
      </c>
      <c r="AA310">
        <v>298</v>
      </c>
      <c r="AB310">
        <f t="shared" si="13"/>
        <v>5.2010811709431017</v>
      </c>
      <c r="AC310">
        <f t="shared" si="14"/>
        <v>-0.8829475928589271</v>
      </c>
    </row>
    <row r="311" spans="26:29">
      <c r="Z311">
        <f t="shared" si="12"/>
        <v>6.0931541706024408</v>
      </c>
      <c r="AA311">
        <v>299</v>
      </c>
      <c r="AB311">
        <f t="shared" si="13"/>
        <v>5.2185344634630448</v>
      </c>
      <c r="AC311">
        <f t="shared" si="14"/>
        <v>-0.87461970713939607</v>
      </c>
    </row>
    <row r="312" spans="26:29">
      <c r="Z312">
        <f t="shared" si="12"/>
        <v>6.1020131597674272</v>
      </c>
      <c r="AA312">
        <v>300</v>
      </c>
      <c r="AB312">
        <f t="shared" si="13"/>
        <v>5.2359877559829888</v>
      </c>
      <c r="AC312">
        <f t="shared" si="14"/>
        <v>-0.8660254037844386</v>
      </c>
    </row>
    <row r="313" spans="26:29">
      <c r="Z313">
        <f t="shared" si="12"/>
        <v>6.1106083492050445</v>
      </c>
      <c r="AA313">
        <v>301</v>
      </c>
      <c r="AB313">
        <f t="shared" si="13"/>
        <v>5.2534410485029319</v>
      </c>
      <c r="AC313">
        <f t="shared" si="14"/>
        <v>-0.85716730070211233</v>
      </c>
    </row>
    <row r="314" spans="26:29">
      <c r="Z314">
        <f t="shared" si="12"/>
        <v>6.1189424371793013</v>
      </c>
      <c r="AA314">
        <v>302</v>
      </c>
      <c r="AB314">
        <f t="shared" si="13"/>
        <v>5.270894341022875</v>
      </c>
      <c r="AC314">
        <f t="shared" si="14"/>
        <v>-0.84804809615642618</v>
      </c>
    </row>
    <row r="315" spans="26:29">
      <c r="Z315">
        <f t="shared" si="12"/>
        <v>6.1270182014882426</v>
      </c>
      <c r="AA315">
        <v>303</v>
      </c>
      <c r="AB315">
        <f t="shared" si="13"/>
        <v>5.2883476335428181</v>
      </c>
      <c r="AC315">
        <f t="shared" si="14"/>
        <v>-0.83867056794542427</v>
      </c>
    </row>
    <row r="316" spans="26:29">
      <c r="Z316">
        <f t="shared" si="12"/>
        <v>6.1348384986178033</v>
      </c>
      <c r="AA316">
        <v>304</v>
      </c>
      <c r="AB316">
        <f t="shared" si="13"/>
        <v>5.3058009260627612</v>
      </c>
      <c r="AC316">
        <f t="shared" si="14"/>
        <v>-0.82903757255504207</v>
      </c>
    </row>
    <row r="317" spans="26:29">
      <c r="Z317">
        <f t="shared" si="12"/>
        <v>6.1424062628716971</v>
      </c>
      <c r="AA317">
        <v>305</v>
      </c>
      <c r="AB317">
        <f t="shared" si="13"/>
        <v>5.3232542185827052</v>
      </c>
      <c r="AC317">
        <f t="shared" si="14"/>
        <v>-0.8191520442889918</v>
      </c>
    </row>
    <row r="318" spans="26:29">
      <c r="Z318">
        <f t="shared" si="12"/>
        <v>6.1497245054775957</v>
      </c>
      <c r="AA318">
        <v>306</v>
      </c>
      <c r="AB318">
        <f t="shared" si="13"/>
        <v>5.3407075111026483</v>
      </c>
      <c r="AC318">
        <f t="shared" si="14"/>
        <v>-0.80901699437494756</v>
      </c>
    </row>
    <row r="319" spans="26:29">
      <c r="Z319">
        <f t="shared" si="12"/>
        <v>6.1567963136698847</v>
      </c>
      <c r="AA319">
        <v>307</v>
      </c>
      <c r="AB319">
        <f t="shared" si="13"/>
        <v>5.3581608036225914</v>
      </c>
      <c r="AC319">
        <f t="shared" si="14"/>
        <v>-0.79863551004729305</v>
      </c>
    </row>
    <row r="320" spans="26:29">
      <c r="Z320">
        <f t="shared" si="12"/>
        <v>6.1636248497492572</v>
      </c>
      <c r="AA320">
        <v>308</v>
      </c>
      <c r="AB320">
        <f t="shared" si="13"/>
        <v>5.3756140961425354</v>
      </c>
      <c r="AC320">
        <f t="shared" si="14"/>
        <v>-0.78801075360672179</v>
      </c>
    </row>
    <row r="321" spans="26:29">
      <c r="Z321">
        <f t="shared" si="12"/>
        <v>6.1702133501194494</v>
      </c>
      <c r="AA321">
        <v>309</v>
      </c>
      <c r="AB321">
        <f t="shared" si="13"/>
        <v>5.3930673886624785</v>
      </c>
      <c r="AC321">
        <f t="shared" si="14"/>
        <v>-0.77714596145697079</v>
      </c>
    </row>
    <row r="322" spans="26:29">
      <c r="Z322">
        <f t="shared" si="12"/>
        <v>6.1765651243013995</v>
      </c>
      <c r="AA322">
        <v>310</v>
      </c>
      <c r="AB322">
        <f t="shared" si="13"/>
        <v>5.4105206811824216</v>
      </c>
      <c r="AC322">
        <f t="shared" si="14"/>
        <v>-0.76604444311897812</v>
      </c>
    </row>
    <row r="323" spans="26:29">
      <c r="Z323">
        <f t="shared" si="12"/>
        <v>6.1826835539251368</v>
      </c>
      <c r="AA323">
        <v>311</v>
      </c>
      <c r="AB323">
        <f t="shared" si="13"/>
        <v>5.4279739737023647</v>
      </c>
      <c r="AC323">
        <f t="shared" si="14"/>
        <v>-0.75470958022277224</v>
      </c>
    </row>
    <row r="324" spans="26:29">
      <c r="Z324">
        <f t="shared" si="12"/>
        <v>6.1885720916997027</v>
      </c>
      <c r="AA324">
        <v>312</v>
      </c>
      <c r="AB324">
        <f t="shared" si="13"/>
        <v>5.4454272662223078</v>
      </c>
      <c r="AC324">
        <f t="shared" si="14"/>
        <v>-0.74314482547739458</v>
      </c>
    </row>
    <row r="325" spans="26:29">
      <c r="Z325">
        <f t="shared" si="12"/>
        <v>6.194234260361422</v>
      </c>
      <c r="AA325">
        <v>313</v>
      </c>
      <c r="AB325">
        <f t="shared" si="13"/>
        <v>5.4628805587422509</v>
      </c>
      <c r="AC325">
        <f t="shared" si="14"/>
        <v>-0.73135370161917101</v>
      </c>
    </row>
    <row r="326" spans="26:29">
      <c r="Z326">
        <f t="shared" si="12"/>
        <v>6.1996736516008459</v>
      </c>
      <c r="AA326">
        <v>314</v>
      </c>
      <c r="AB326">
        <f t="shared" si="13"/>
        <v>5.480333851262194</v>
      </c>
      <c r="AC326">
        <f t="shared" si="14"/>
        <v>-0.71933980033865175</v>
      </c>
    </row>
    <row r="327" spans="26:29">
      <c r="Z327">
        <f t="shared" si="12"/>
        <v>6.2048939249686859</v>
      </c>
      <c r="AA327">
        <v>315</v>
      </c>
      <c r="AB327">
        <f t="shared" si="13"/>
        <v>5.497787143782138</v>
      </c>
      <c r="AC327">
        <f t="shared" si="14"/>
        <v>-0.70710678118654768</v>
      </c>
    </row>
    <row r="328" spans="26:29">
      <c r="Z328">
        <f t="shared" si="12"/>
        <v>6.2098988067610783</v>
      </c>
      <c r="AA328">
        <v>316</v>
      </c>
      <c r="AB328">
        <f t="shared" si="13"/>
        <v>5.5152404363020811</v>
      </c>
      <c r="AC328">
        <f t="shared" si="14"/>
        <v>-0.69465837045899759</v>
      </c>
    </row>
    <row r="329" spans="26:29">
      <c r="Z329">
        <f t="shared" si="12"/>
        <v>6.2146920888845232</v>
      </c>
      <c r="AA329">
        <v>317</v>
      </c>
      <c r="AB329">
        <f t="shared" si="13"/>
        <v>5.532693728822025</v>
      </c>
      <c r="AC329">
        <f t="shared" si="14"/>
        <v>-0.68199836006249825</v>
      </c>
    </row>
    <row r="330" spans="26:29">
      <c r="Z330">
        <f t="shared" si="12"/>
        <v>6.2192776277008264</v>
      </c>
      <c r="AA330">
        <v>318</v>
      </c>
      <c r="AB330">
        <f t="shared" si="13"/>
        <v>5.5501470213419681</v>
      </c>
      <c r="AC330">
        <f t="shared" si="14"/>
        <v>-0.66913060635885813</v>
      </c>
    </row>
    <row r="331" spans="26:29">
      <c r="Z331">
        <f t="shared" si="12"/>
        <v>6.223659342852419</v>
      </c>
      <c r="AA331">
        <v>319</v>
      </c>
      <c r="AB331">
        <f t="shared" si="13"/>
        <v>5.5676003138619112</v>
      </c>
      <c r="AC331">
        <f t="shared" si="14"/>
        <v>-0.65605902899050739</v>
      </c>
    </row>
    <row r="332" spans="26:29">
      <c r="Z332">
        <f t="shared" si="12"/>
        <v>6.227841216068394</v>
      </c>
      <c r="AA332">
        <v>320</v>
      </c>
      <c r="AB332">
        <f t="shared" si="13"/>
        <v>5.5850536063818543</v>
      </c>
      <c r="AC332">
        <f t="shared" si="14"/>
        <v>-0.64278760968653958</v>
      </c>
    </row>
    <row r="333" spans="26:29">
      <c r="Z333">
        <f t="shared" ref="Z333:Z372" si="15">AB333-SIN(AB333)</f>
        <v>6.2318272899516352</v>
      </c>
      <c r="AA333">
        <v>321</v>
      </c>
      <c r="AB333">
        <f t="shared" ref="AB333:AB372" si="16">AA333*PI()/180</f>
        <v>5.6025068989017974</v>
      </c>
      <c r="AC333">
        <f t="shared" ref="AC333:AC372" si="17">SIN(AB333)</f>
        <v>-0.62932039104983784</v>
      </c>
    </row>
    <row r="334" spans="26:29">
      <c r="Z334">
        <f t="shared" si="15"/>
        <v>6.2356216667473996</v>
      </c>
      <c r="AA334">
        <v>322</v>
      </c>
      <c r="AB334">
        <f t="shared" si="16"/>
        <v>5.6199601914217405</v>
      </c>
      <c r="AC334">
        <f t="shared" si="17"/>
        <v>-0.61566147532565885</v>
      </c>
    </row>
    <row r="335" spans="26:29">
      <c r="Z335">
        <f t="shared" si="15"/>
        <v>6.239228507093733</v>
      </c>
      <c r="AA335">
        <v>323</v>
      </c>
      <c r="AB335">
        <f t="shared" si="16"/>
        <v>5.6374134839416845</v>
      </c>
      <c r="AC335">
        <f t="shared" si="17"/>
        <v>-0.60181502315204827</v>
      </c>
    </row>
    <row r="336" spans="26:29">
      <c r="Z336">
        <f t="shared" si="15"/>
        <v>6.242652028754101</v>
      </c>
      <c r="AA336">
        <v>324</v>
      </c>
      <c r="AB336">
        <f t="shared" si="16"/>
        <v>5.6548667764616276</v>
      </c>
      <c r="AC336">
        <f t="shared" si="17"/>
        <v>-0.58778525229247336</v>
      </c>
    </row>
    <row r="337" spans="26:29">
      <c r="Z337">
        <f t="shared" si="15"/>
        <v>6.2458965053326168</v>
      </c>
      <c r="AA337">
        <v>325</v>
      </c>
      <c r="AB337">
        <f t="shared" si="16"/>
        <v>5.6723200689815707</v>
      </c>
      <c r="AC337">
        <f t="shared" si="17"/>
        <v>-0.57357643635104649</v>
      </c>
    </row>
    <row r="338" spans="26:29">
      <c r="Z338">
        <f t="shared" si="15"/>
        <v>6.2489662649722613</v>
      </c>
      <c r="AA338">
        <v>326</v>
      </c>
      <c r="AB338">
        <f t="shared" si="16"/>
        <v>5.6897733615015138</v>
      </c>
      <c r="AC338">
        <f t="shared" si="17"/>
        <v>-0.55919290347074735</v>
      </c>
    </row>
    <row r="339" spans="26:29">
      <c r="Z339">
        <f t="shared" si="15"/>
        <v>6.2518656890364852</v>
      </c>
      <c r="AA339">
        <v>327</v>
      </c>
      <c r="AB339">
        <f t="shared" si="16"/>
        <v>5.7072266540214578</v>
      </c>
      <c r="AC339">
        <f t="shared" si="17"/>
        <v>-0.54463903501502697</v>
      </c>
    </row>
    <row r="340" spans="26:29">
      <c r="Z340">
        <f t="shared" si="15"/>
        <v>6.2545992107746056</v>
      </c>
      <c r="AA340">
        <v>328</v>
      </c>
      <c r="AB340">
        <f t="shared" si="16"/>
        <v>5.7246799465414</v>
      </c>
      <c r="AC340">
        <f t="shared" si="17"/>
        <v>-0.52991926423320579</v>
      </c>
    </row>
    <row r="341" spans="26:29">
      <c r="Z341">
        <f t="shared" si="15"/>
        <v>6.2571713139713987</v>
      </c>
      <c r="AA341">
        <v>329</v>
      </c>
      <c r="AB341">
        <f t="shared" si="16"/>
        <v>5.742133239061344</v>
      </c>
      <c r="AC341">
        <f t="shared" si="17"/>
        <v>-0.51503807491005449</v>
      </c>
    </row>
    <row r="342" spans="26:29">
      <c r="Z342">
        <f t="shared" si="15"/>
        <v>6.259586531581288</v>
      </c>
      <c r="AA342">
        <v>330</v>
      </c>
      <c r="AB342">
        <f t="shared" si="16"/>
        <v>5.7595865315812871</v>
      </c>
      <c r="AC342">
        <f t="shared" si="17"/>
        <v>-0.50000000000000044</v>
      </c>
    </row>
    <row r="343" spans="26:29">
      <c r="Z343">
        <f t="shared" si="15"/>
        <v>6.2618494443475683</v>
      </c>
      <c r="AA343">
        <v>331</v>
      </c>
      <c r="AB343">
        <f t="shared" si="16"/>
        <v>5.7770398241012311</v>
      </c>
      <c r="AC343">
        <f t="shared" si="17"/>
        <v>-0.48480962024633689</v>
      </c>
    </row>
    <row r="344" spans="26:29">
      <c r="Z344">
        <f t="shared" si="15"/>
        <v>6.2639646794070654</v>
      </c>
      <c r="AA344">
        <v>332</v>
      </c>
      <c r="AB344">
        <f t="shared" si="16"/>
        <v>5.7944931166211742</v>
      </c>
      <c r="AC344">
        <f t="shared" si="17"/>
        <v>-0.46947156278589081</v>
      </c>
    </row>
    <row r="345" spans="26:29">
      <c r="Z345">
        <f t="shared" si="15"/>
        <v>6.265936908880664</v>
      </c>
      <c r="AA345">
        <v>333</v>
      </c>
      <c r="AB345">
        <f t="shared" si="16"/>
        <v>5.8119464091411173</v>
      </c>
      <c r="AC345">
        <f t="shared" si="17"/>
        <v>-0.45399049973954697</v>
      </c>
    </row>
    <row r="346" spans="26:29">
      <c r="Z346">
        <f t="shared" si="15"/>
        <v>6.2677708484501382</v>
      </c>
      <c r="AA346">
        <v>334</v>
      </c>
      <c r="AB346">
        <f t="shared" si="16"/>
        <v>5.8293997016610613</v>
      </c>
      <c r="AC346">
        <f t="shared" si="17"/>
        <v>-0.43837114678907702</v>
      </c>
    </row>
    <row r="347" spans="26:29">
      <c r="Z347">
        <f t="shared" si="15"/>
        <v>6.2694712559217036</v>
      </c>
      <c r="AA347">
        <v>335</v>
      </c>
      <c r="AB347">
        <f t="shared" si="16"/>
        <v>5.8468529941810035</v>
      </c>
      <c r="AC347">
        <f t="shared" si="17"/>
        <v>-0.4226182617407</v>
      </c>
    </row>
    <row r="348" spans="26:29">
      <c r="Z348">
        <f t="shared" si="15"/>
        <v>6.2710429297767476</v>
      </c>
      <c r="AA348">
        <v>336</v>
      </c>
      <c r="AB348">
        <f t="shared" si="16"/>
        <v>5.8643062867009474</v>
      </c>
      <c r="AC348">
        <f t="shared" si="17"/>
        <v>-0.40673664307580015</v>
      </c>
    </row>
    <row r="349" spans="26:29">
      <c r="Z349">
        <f t="shared" si="15"/>
        <v>6.2724907077101646</v>
      </c>
      <c r="AA349">
        <v>337</v>
      </c>
      <c r="AB349">
        <f t="shared" si="16"/>
        <v>5.8817595792208897</v>
      </c>
      <c r="AC349">
        <f t="shared" si="17"/>
        <v>-0.39073112848927471</v>
      </c>
    </row>
    <row r="350" spans="26:29">
      <c r="Z350">
        <f t="shared" si="15"/>
        <v>6.2738194651567456</v>
      </c>
      <c r="AA350">
        <v>338</v>
      </c>
      <c r="AB350">
        <f t="shared" si="16"/>
        <v>5.8992128717408336</v>
      </c>
      <c r="AC350">
        <f t="shared" si="17"/>
        <v>-0.37460659341591235</v>
      </c>
    </row>
    <row r="351" spans="26:29">
      <c r="Z351">
        <f t="shared" si="15"/>
        <v>6.2750341138060772</v>
      </c>
      <c r="AA351">
        <v>339</v>
      </c>
      <c r="AB351">
        <f t="shared" si="16"/>
        <v>5.9166661642607767</v>
      </c>
      <c r="AC351">
        <f t="shared" si="17"/>
        <v>-0.35836794954530077</v>
      </c>
    </row>
    <row r="352" spans="26:29">
      <c r="Z352">
        <f t="shared" si="15"/>
        <v>6.2761396001063892</v>
      </c>
      <c r="AA352">
        <v>340</v>
      </c>
      <c r="AB352">
        <f t="shared" si="16"/>
        <v>5.9341194567807207</v>
      </c>
      <c r="AC352">
        <f t="shared" si="17"/>
        <v>-0.3420201433256686</v>
      </c>
    </row>
    <row r="353" spans="26:29">
      <c r="Z353">
        <f t="shared" si="15"/>
        <v>6.2771409037578207</v>
      </c>
      <c r="AA353">
        <v>341</v>
      </c>
      <c r="AB353">
        <f t="shared" si="16"/>
        <v>5.9515727493006629</v>
      </c>
      <c r="AC353">
        <f t="shared" si="17"/>
        <v>-0.32556815445715753</v>
      </c>
    </row>
    <row r="354" spans="26:29">
      <c r="Z354">
        <f t="shared" si="15"/>
        <v>6.2780430361955544</v>
      </c>
      <c r="AA354">
        <v>342</v>
      </c>
      <c r="AB354">
        <f t="shared" si="16"/>
        <v>5.9690260418206069</v>
      </c>
      <c r="AC354">
        <f t="shared" si="17"/>
        <v>-0.30901699437494762</v>
      </c>
    </row>
    <row r="355" spans="26:29">
      <c r="Z355">
        <f t="shared" si="15"/>
        <v>6.2788510390632872</v>
      </c>
      <c r="AA355">
        <v>343</v>
      </c>
      <c r="AB355">
        <f t="shared" si="16"/>
        <v>5.9864793343405509</v>
      </c>
      <c r="AC355">
        <f t="shared" si="17"/>
        <v>-0.29237170472273627</v>
      </c>
    </row>
    <row r="356" spans="26:29">
      <c r="Z356">
        <f t="shared" si="15"/>
        <v>6.2795699826774927</v>
      </c>
      <c r="AA356">
        <v>344</v>
      </c>
      <c r="AB356">
        <f t="shared" si="16"/>
        <v>6.0039326268604931</v>
      </c>
      <c r="AC356">
        <f t="shared" si="17"/>
        <v>-0.27563735581699977</v>
      </c>
    </row>
    <row r="357" spans="26:29">
      <c r="Z357">
        <f t="shared" si="15"/>
        <v>6.2802049644829578</v>
      </c>
      <c r="AA357">
        <v>345</v>
      </c>
      <c r="AB357">
        <f t="shared" si="16"/>
        <v>6.0213859193804371</v>
      </c>
      <c r="AC357">
        <f t="shared" si="17"/>
        <v>-0.25881904510252068</v>
      </c>
    </row>
    <row r="358" spans="26:29">
      <c r="Z358">
        <f t="shared" si="15"/>
        <v>6.280761107500048</v>
      </c>
      <c r="AA358">
        <v>346</v>
      </c>
      <c r="AB358">
        <f t="shared" si="16"/>
        <v>6.0388392119003802</v>
      </c>
      <c r="AC358">
        <f t="shared" si="17"/>
        <v>-0.24192189559966787</v>
      </c>
    </row>
    <row r="359" spans="26:29">
      <c r="Z359">
        <f t="shared" si="15"/>
        <v>6.2812435587641886</v>
      </c>
      <c r="AA359">
        <v>347</v>
      </c>
      <c r="AB359">
        <f t="shared" si="16"/>
        <v>6.0562925044203233</v>
      </c>
      <c r="AC359">
        <f t="shared" si="17"/>
        <v>-0.22495105434386534</v>
      </c>
    </row>
    <row r="360" spans="26:29">
      <c r="Z360">
        <f t="shared" si="15"/>
        <v>6.281657487758026</v>
      </c>
      <c r="AA360">
        <v>348</v>
      </c>
      <c r="AB360">
        <f t="shared" si="16"/>
        <v>6.0737457969402664</v>
      </c>
      <c r="AC360">
        <f t="shared" si="17"/>
        <v>-0.20791169081775987</v>
      </c>
    </row>
    <row r="361" spans="26:29">
      <c r="Z361">
        <f t="shared" si="15"/>
        <v>6.2820080848367548</v>
      </c>
      <c r="AA361">
        <v>349</v>
      </c>
      <c r="AB361">
        <f t="shared" si="16"/>
        <v>6.0911990894602104</v>
      </c>
      <c r="AC361">
        <f t="shared" si="17"/>
        <v>-0.19080899537654467</v>
      </c>
    </row>
    <row r="362" spans="26:29">
      <c r="Z362">
        <f t="shared" si="15"/>
        <v>6.2823005596470836</v>
      </c>
      <c r="AA362">
        <v>350</v>
      </c>
      <c r="AB362">
        <f t="shared" si="16"/>
        <v>6.1086523819801526</v>
      </c>
      <c r="AC362">
        <f t="shared" si="17"/>
        <v>-0.17364817766693127</v>
      </c>
    </row>
    <row r="363" spans="26:29">
      <c r="Z363">
        <f t="shared" si="15"/>
        <v>6.2825401395403278</v>
      </c>
      <c r="AA363">
        <v>351</v>
      </c>
      <c r="AB363">
        <f t="shared" si="16"/>
        <v>6.1261056745000966</v>
      </c>
      <c r="AC363">
        <f t="shared" si="17"/>
        <v>-0.15643446504023112</v>
      </c>
    </row>
    <row r="364" spans="26:29">
      <c r="Z364">
        <f t="shared" si="15"/>
        <v>6.2827320679801053</v>
      </c>
      <c r="AA364">
        <v>352</v>
      </c>
      <c r="AB364">
        <f t="shared" si="16"/>
        <v>6.1435589670200397</v>
      </c>
      <c r="AC364">
        <f t="shared" si="17"/>
        <v>-0.13917310096006588</v>
      </c>
    </row>
    <row r="365" spans="26:29">
      <c r="Z365">
        <f t="shared" si="15"/>
        <v>6.2828816029451309</v>
      </c>
      <c r="AA365">
        <v>353</v>
      </c>
      <c r="AB365">
        <f t="shared" si="16"/>
        <v>6.1610122595399828</v>
      </c>
      <c r="AC365">
        <f t="shared" si="17"/>
        <v>-0.12186934340514811</v>
      </c>
    </row>
    <row r="366" spans="26:29">
      <c r="Z366">
        <f t="shared" si="15"/>
        <v>6.2829940153275805</v>
      </c>
      <c r="AA366">
        <v>354</v>
      </c>
      <c r="AB366">
        <f t="shared" si="16"/>
        <v>6.1784655520599268</v>
      </c>
      <c r="AC366">
        <f t="shared" si="17"/>
        <v>-0.10452846326765342</v>
      </c>
    </row>
    <row r="367" spans="26:29">
      <c r="Z367">
        <f t="shared" si="15"/>
        <v>6.283074587327528</v>
      </c>
      <c r="AA367">
        <v>355</v>
      </c>
      <c r="AB367">
        <f t="shared" si="16"/>
        <v>6.1959188445798699</v>
      </c>
      <c r="AC367">
        <f t="shared" si="17"/>
        <v>-8.7155742747658319E-2</v>
      </c>
    </row>
    <row r="368" spans="26:29">
      <c r="Z368">
        <f t="shared" si="15"/>
        <v>6.2831286108439386</v>
      </c>
      <c r="AA368">
        <v>356</v>
      </c>
      <c r="AB368">
        <f t="shared" si="16"/>
        <v>6.2133721370998138</v>
      </c>
      <c r="AC368">
        <f t="shared" si="17"/>
        <v>-6.9756473744124761E-2</v>
      </c>
    </row>
    <row r="369" spans="26:29">
      <c r="Z369">
        <f t="shared" si="15"/>
        <v>6.2831613858627007</v>
      </c>
      <c r="AA369">
        <v>357</v>
      </c>
      <c r="AB369">
        <f t="shared" si="16"/>
        <v>6.2308254296197561</v>
      </c>
      <c r="AC369">
        <f t="shared" si="17"/>
        <v>-5.2335956242944369E-2</v>
      </c>
    </row>
    <row r="370" spans="26:29">
      <c r="Z370">
        <f t="shared" si="15"/>
        <v>6.2831782188422007</v>
      </c>
      <c r="AA370">
        <v>358</v>
      </c>
      <c r="AB370">
        <f t="shared" si="16"/>
        <v>6.2482787221397</v>
      </c>
      <c r="AC370">
        <f t="shared" si="17"/>
        <v>-3.4899496702500823E-2</v>
      </c>
    </row>
    <row r="371" spans="26:29">
      <c r="Z371">
        <f t="shared" si="15"/>
        <v>6.2831844210969265</v>
      </c>
      <c r="AA371">
        <v>359</v>
      </c>
      <c r="AB371">
        <f t="shared" si="16"/>
        <v>6.2657320146596422</v>
      </c>
      <c r="AC371">
        <f t="shared" si="17"/>
        <v>-1.7452406437284448E-2</v>
      </c>
    </row>
    <row r="372" spans="26:29">
      <c r="Z372">
        <f t="shared" si="15"/>
        <v>6.2831853071795862</v>
      </c>
      <c r="AA372">
        <v>360</v>
      </c>
      <c r="AB372">
        <f t="shared" si="16"/>
        <v>6.2831853071795862</v>
      </c>
      <c r="AC372">
        <f t="shared" si="17"/>
        <v>-2.45029690981724E-16</v>
      </c>
    </row>
  </sheetData>
  <customSheetViews>
    <customSheetView guid="{C8C28A16-3CAD-4F54-A986-B4BB76010774}" showPageBreaks="1" topLeftCell="A10">
      <selection activeCell="C17" sqref="C17"/>
      <pageMargins left="0.7" right="0.7" top="0.75" bottom="0.75" header="0.3" footer="0.3"/>
      <pageSetup orientation="portrait" r:id="rId1"/>
    </customSheetView>
    <customSheetView guid="{69D25061-22BB-4069-9A58-30FF41B45BB4}" showPageBreaks="1" state="hidden" topLeftCell="A10">
      <selection activeCell="C17" sqref="C17"/>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13FF2-096A-4915-BFF3-070A746C3797}">
  <sheetPr codeName="Sheet3"/>
  <dimension ref="A3:M70"/>
  <sheetViews>
    <sheetView topLeftCell="A4" zoomScaleNormal="100" workbookViewId="0">
      <selection activeCell="C17" sqref="C17"/>
    </sheetView>
  </sheetViews>
  <sheetFormatPr defaultRowHeight="15"/>
  <cols>
    <col min="1" max="1" width="20.5703125" bestFit="1" customWidth="1"/>
    <col min="2" max="2" width="13.5703125" bestFit="1" customWidth="1"/>
    <col min="3" max="3" width="16.42578125" bestFit="1" customWidth="1"/>
    <col min="4" max="4" width="12" bestFit="1" customWidth="1"/>
    <col min="9" max="9" width="12.85546875" customWidth="1"/>
  </cols>
  <sheetData>
    <row r="3" spans="1:4">
      <c r="A3" s="5" t="s">
        <v>17</v>
      </c>
      <c r="B3" s="5" t="s">
        <v>18</v>
      </c>
      <c r="C3" s="5">
        <f>'Flap Gate - Inputs and Outputs'!D4/12</f>
        <v>2</v>
      </c>
      <c r="D3" s="5" t="s">
        <v>5</v>
      </c>
    </row>
    <row r="4" spans="1:4">
      <c r="A4" s="5" t="s">
        <v>20</v>
      </c>
      <c r="B4" s="5" t="s">
        <v>21</v>
      </c>
      <c r="C4" s="5">
        <f>C3/2</f>
        <v>1</v>
      </c>
      <c r="D4" s="5" t="s">
        <v>5</v>
      </c>
    </row>
    <row r="5" spans="1:4">
      <c r="A5" s="5" t="s">
        <v>22</v>
      </c>
      <c r="B5" s="5" t="s">
        <v>131</v>
      </c>
      <c r="C5" s="5">
        <v>1</v>
      </c>
      <c r="D5" s="5" t="s">
        <v>4</v>
      </c>
    </row>
    <row r="6" spans="1:4">
      <c r="A6" s="5" t="s">
        <v>22</v>
      </c>
      <c r="B6" s="5" t="s">
        <v>23</v>
      </c>
      <c r="C6" s="5">
        <f>C5/12</f>
        <v>8.3333333333333329E-2</v>
      </c>
      <c r="D6" s="5" t="s">
        <v>5</v>
      </c>
    </row>
    <row r="7" spans="1:4">
      <c r="A7" s="5"/>
      <c r="B7" s="5"/>
      <c r="C7" s="5">
        <f>C6*12</f>
        <v>1</v>
      </c>
      <c r="D7" s="5"/>
    </row>
    <row r="8" spans="1:4">
      <c r="A8" s="5" t="s">
        <v>25</v>
      </c>
      <c r="B8" s="5" t="s">
        <v>26</v>
      </c>
      <c r="C8" s="5">
        <f>IF(C6&lt;C4,C6,2*C4-C6)</f>
        <v>8.3333333333333329E-2</v>
      </c>
      <c r="D8" s="5" t="s">
        <v>5</v>
      </c>
    </row>
    <row r="9" spans="1:4">
      <c r="A9" s="5" t="s">
        <v>27</v>
      </c>
      <c r="B9" s="6" t="s">
        <v>28</v>
      </c>
      <c r="C9" s="5">
        <f>2*ACOS((C4-C8)/C4)</f>
        <v>0.82227572464469567</v>
      </c>
      <c r="D9" s="5" t="s">
        <v>29</v>
      </c>
    </row>
    <row r="10" spans="1:4">
      <c r="A10" s="5"/>
      <c r="B10" s="5"/>
      <c r="C10" s="5">
        <f>C9*180/PI()</f>
        <v>47.112928618202481</v>
      </c>
      <c r="D10" s="5" t="s">
        <v>9</v>
      </c>
    </row>
    <row r="11" spans="1:4">
      <c r="A11" s="5" t="s">
        <v>30</v>
      </c>
      <c r="B11" s="5" t="s">
        <v>31</v>
      </c>
      <c r="C11" s="5">
        <f>C4^2*(C9-SIN(C9))/2</f>
        <v>4.4789620958181675E-2</v>
      </c>
      <c r="D11" s="5" t="s">
        <v>32</v>
      </c>
    </row>
    <row r="12" spans="1:4">
      <c r="A12" s="5" t="s">
        <v>35</v>
      </c>
      <c r="B12" s="5" t="s">
        <v>36</v>
      </c>
      <c r="C12" s="5">
        <f>C4*C9</f>
        <v>0.82227572464469567</v>
      </c>
      <c r="D12" s="5" t="s">
        <v>37</v>
      </c>
    </row>
    <row r="13" spans="1:4">
      <c r="A13" s="5" t="s">
        <v>38</v>
      </c>
      <c r="B13" s="5" t="s">
        <v>33</v>
      </c>
      <c r="C13" s="5">
        <f>IF(C6&lt;C4,C11,PI()*C4^2-C11)</f>
        <v>4.4789620958181675E-2</v>
      </c>
      <c r="D13" s="5" t="s">
        <v>32</v>
      </c>
    </row>
    <row r="14" spans="1:4">
      <c r="A14" s="5" t="s">
        <v>39</v>
      </c>
      <c r="B14" s="5" t="s">
        <v>40</v>
      </c>
      <c r="C14" s="5">
        <f>IF(C6&lt;C4,C12,2*PI()*C4-C12)</f>
        <v>0.82227572464469567</v>
      </c>
      <c r="D14" s="5" t="s">
        <v>37</v>
      </c>
    </row>
    <row r="15" spans="1:4" ht="18">
      <c r="A15" s="5" t="s">
        <v>42</v>
      </c>
      <c r="B15" s="5" t="s">
        <v>43</v>
      </c>
      <c r="C15" s="5">
        <f>IF(C6=0,0,C13/C14)</f>
        <v>5.4470318915878509E-2</v>
      </c>
      <c r="D15" s="5" t="s">
        <v>37</v>
      </c>
    </row>
    <row r="18" spans="1:13">
      <c r="A18" s="5" t="s">
        <v>49</v>
      </c>
      <c r="B18" s="5" t="s">
        <v>36</v>
      </c>
      <c r="C18" s="43">
        <f>'Flap Gate - Inputs and Outputs'!D10</f>
        <v>0.01</v>
      </c>
      <c r="D18" s="5" t="s">
        <v>50</v>
      </c>
    </row>
    <row r="19" spans="1:13">
      <c r="A19" s="5"/>
      <c r="B19" s="5"/>
      <c r="C19" s="8">
        <f>C18</f>
        <v>0.01</v>
      </c>
      <c r="D19" s="5" t="s">
        <v>51</v>
      </c>
    </row>
    <row r="20" spans="1:13">
      <c r="A20" s="5" t="s">
        <v>52</v>
      </c>
      <c r="B20" s="5" t="s">
        <v>16</v>
      </c>
      <c r="C20" s="5">
        <f>'Flap Gate - Inputs and Outputs'!D12</f>
        <v>1.0999999999999999E-2</v>
      </c>
      <c r="D20" s="5"/>
    </row>
    <row r="21" spans="1:13">
      <c r="A21" s="5"/>
      <c r="B21" s="5"/>
      <c r="C21" s="5"/>
      <c r="D21" s="5"/>
    </row>
    <row r="22" spans="1:13">
      <c r="A22" s="5" t="s">
        <v>22</v>
      </c>
      <c r="B22" s="5" t="s">
        <v>23</v>
      </c>
      <c r="C22" s="5">
        <f>C6</f>
        <v>8.3333333333333329E-2</v>
      </c>
      <c r="D22" s="5" t="s">
        <v>5</v>
      </c>
    </row>
    <row r="23" spans="1:13">
      <c r="A23" s="5"/>
      <c r="B23" s="5"/>
      <c r="C23" s="5"/>
      <c r="D23" s="5"/>
      <c r="K23" s="7" t="s">
        <v>44</v>
      </c>
    </row>
    <row r="24" spans="1:13">
      <c r="A24" s="5" t="s">
        <v>53</v>
      </c>
      <c r="B24" s="5" t="s">
        <v>54</v>
      </c>
      <c r="C24" s="5">
        <f>(1.49/C20)*C13*(C15)^(2/3)*(C19^0.5)</f>
        <v>8.7178805822423946E-2</v>
      </c>
      <c r="D24" s="5" t="s">
        <v>55</v>
      </c>
    </row>
    <row r="25" spans="1:13">
      <c r="A25" s="5"/>
      <c r="B25" s="5"/>
      <c r="C25" s="5">
        <f>C24*7.48*60</f>
        <v>39.125848053103866</v>
      </c>
      <c r="D25" s="5" t="s">
        <v>56</v>
      </c>
      <c r="K25" t="s">
        <v>46</v>
      </c>
      <c r="L25">
        <v>72</v>
      </c>
      <c r="M25" t="s">
        <v>4</v>
      </c>
    </row>
    <row r="26" spans="1:13">
      <c r="A26" s="5"/>
      <c r="B26" s="5"/>
      <c r="C26" s="5"/>
      <c r="D26" s="5"/>
      <c r="K26" t="s">
        <v>47</v>
      </c>
      <c r="L26">
        <v>6</v>
      </c>
      <c r="M26" t="s">
        <v>4</v>
      </c>
    </row>
    <row r="27" spans="1:13">
      <c r="A27" s="5" t="s">
        <v>57</v>
      </c>
      <c r="B27" s="5" t="s">
        <v>58</v>
      </c>
      <c r="C27" s="5">
        <f>IF(C24=0,0,C24/C13)</f>
        <v>1.946406420894238</v>
      </c>
      <c r="D27" s="5" t="s">
        <v>59</v>
      </c>
      <c r="K27" t="s">
        <v>48</v>
      </c>
      <c r="L27">
        <f>(L25^2-(L26/2)^2)^0.5</f>
        <v>71.937472849690792</v>
      </c>
      <c r="M27" t="s">
        <v>4</v>
      </c>
    </row>
    <row r="28" spans="1:13">
      <c r="A28" s="5"/>
      <c r="B28" s="5"/>
      <c r="C28" s="5"/>
      <c r="D28" s="5"/>
      <c r="K28" t="s">
        <v>47</v>
      </c>
      <c r="L28">
        <f>180-2*ASIN(L27/L25)*180/PI()</f>
        <v>4.7760309265376861</v>
      </c>
      <c r="M28" t="s">
        <v>9</v>
      </c>
    </row>
    <row r="29" spans="1:13">
      <c r="A29" s="5"/>
      <c r="B29" s="5"/>
      <c r="C29" s="5"/>
      <c r="D29" s="5"/>
    </row>
    <row r="30" spans="1:13">
      <c r="A30" s="5"/>
      <c r="B30" s="5"/>
      <c r="C30" s="5"/>
      <c r="D30" s="5"/>
    </row>
    <row r="31" spans="1:13">
      <c r="A31" t="s">
        <v>98</v>
      </c>
      <c r="B31" t="s">
        <v>80</v>
      </c>
      <c r="C31">
        <f>'Flap Gate - Inputs and Outputs'!P5</f>
        <v>32.200000000000003</v>
      </c>
      <c r="D31" t="s">
        <v>81</v>
      </c>
    </row>
    <row r="33" spans="1:11" ht="18.75">
      <c r="A33" s="47" t="s">
        <v>127</v>
      </c>
    </row>
    <row r="34" spans="1:11" ht="45">
      <c r="A34" s="53" t="s">
        <v>128</v>
      </c>
      <c r="B34" s="53" t="s">
        <v>129</v>
      </c>
      <c r="C34" s="53" t="s">
        <v>130</v>
      </c>
      <c r="D34" s="53" t="s">
        <v>126</v>
      </c>
      <c r="E34" s="53" t="str">
        <f>A8</f>
        <v>circular segment height</v>
      </c>
      <c r="F34" s="53" t="str">
        <f>A9</f>
        <v>central angle</v>
      </c>
      <c r="G34" s="53" t="str">
        <f>A11</f>
        <v>circular segment area</v>
      </c>
      <c r="H34" s="53" t="str">
        <f>A12</f>
        <v>arc length</v>
      </c>
      <c r="I34" s="53" t="str">
        <f>A13</f>
        <v>flow area</v>
      </c>
      <c r="J34" s="53" t="str">
        <f>A14</f>
        <v>wetted perimeter</v>
      </c>
      <c r="K34" s="53" t="str">
        <f>A15</f>
        <v>hydraulic radius</v>
      </c>
    </row>
    <row r="35" spans="1:11">
      <c r="A35" s="52">
        <v>1</v>
      </c>
      <c r="B35" s="9">
        <f>C24</f>
        <v>8.7178805822423946E-2</v>
      </c>
      <c r="C35" s="9">
        <f>C27</f>
        <v>1.946406420894238</v>
      </c>
      <c r="D35" s="52">
        <f t="shared" ref="D35" si="0">A35/12</f>
        <v>8.3333333333333329E-2</v>
      </c>
      <c r="E35" s="9">
        <f>C8</f>
        <v>8.3333333333333329E-2</v>
      </c>
      <c r="F35" s="9">
        <f>C10</f>
        <v>47.112928618202481</v>
      </c>
      <c r="G35" s="9">
        <f>C11</f>
        <v>4.4789620958181675E-2</v>
      </c>
      <c r="H35" s="9">
        <f>C12</f>
        <v>0.82227572464469567</v>
      </c>
      <c r="I35" s="9">
        <f>C13</f>
        <v>4.4789620958181675E-2</v>
      </c>
      <c r="J35" s="9">
        <f>C14</f>
        <v>0.82227572464469567</v>
      </c>
      <c r="K35" s="9">
        <f>C15</f>
        <v>5.4470318915878509E-2</v>
      </c>
    </row>
    <row r="36" spans="1:11">
      <c r="A36" s="52">
        <v>3</v>
      </c>
      <c r="B36" s="9">
        <f t="dataTable" ref="B36:K70" dt2D="0" dtr="0" r1="C5"/>
        <v>0.89275605328542229</v>
      </c>
      <c r="C36" s="9">
        <v>3.9388171405302583</v>
      </c>
      <c r="D36" s="52">
        <v>8.3333333333333329E-2</v>
      </c>
      <c r="E36" s="9">
        <v>0.25</v>
      </c>
      <c r="F36" s="9">
        <v>82.819244218541712</v>
      </c>
      <c r="G36" s="9">
        <v>0.22665587698880485</v>
      </c>
      <c r="H36" s="9">
        <v>1.4454684956268311</v>
      </c>
      <c r="I36" s="9">
        <v>0.22665587698880485</v>
      </c>
      <c r="J36" s="9">
        <v>1.4454684956268311</v>
      </c>
      <c r="K36" s="9">
        <v>0.15680443930430663</v>
      </c>
    </row>
    <row r="37" spans="1:11">
      <c r="A37" s="52">
        <v>5</v>
      </c>
      <c r="B37" s="9">
        <v>2.5495479027782846</v>
      </c>
      <c r="C37" s="9">
        <v>5.3768959466465693</v>
      </c>
      <c r="D37" s="52">
        <v>8.3333333333333329E-2</v>
      </c>
      <c r="E37" s="9">
        <v>0.41666666666666669</v>
      </c>
      <c r="F37" s="9">
        <v>108.62933057469591</v>
      </c>
      <c r="G37" s="9">
        <v>0.4741672385102359</v>
      </c>
      <c r="H37" s="9">
        <v>1.8959394827657876</v>
      </c>
      <c r="I37" s="9">
        <v>0.4741672385102359</v>
      </c>
      <c r="J37" s="9">
        <v>1.8959394827657876</v>
      </c>
      <c r="K37" s="9">
        <v>0.25009618862861749</v>
      </c>
    </row>
    <row r="38" spans="1:11">
      <c r="A38" s="52">
        <v>7</v>
      </c>
      <c r="B38" s="9">
        <v>4.9705365514766227</v>
      </c>
      <c r="C38" s="9">
        <v>6.5209072236088828</v>
      </c>
      <c r="D38" s="52">
        <v>8.3333333333333329E-2</v>
      </c>
      <c r="E38" s="9">
        <v>0.58333333333333337</v>
      </c>
      <c r="F38" s="9">
        <v>130.75136329567184</v>
      </c>
      <c r="G38" s="9">
        <v>0.76224616928773992</v>
      </c>
      <c r="H38" s="9">
        <v>2.2820417909807378</v>
      </c>
      <c r="I38" s="9">
        <v>0.76224616928773992</v>
      </c>
      <c r="J38" s="9">
        <v>2.2820417909807378</v>
      </c>
      <c r="K38" s="9">
        <v>0.33401937348402128</v>
      </c>
    </row>
    <row r="39" spans="1:11">
      <c r="A39" s="52">
        <v>9</v>
      </c>
      <c r="B39" s="9">
        <v>8.0203811011595612</v>
      </c>
      <c r="C39" s="9">
        <v>7.4535074780406125</v>
      </c>
      <c r="D39" s="52">
        <v>8.3333333333333329E-2</v>
      </c>
      <c r="E39" s="9">
        <v>0.75</v>
      </c>
      <c r="F39" s="9">
        <v>151.04497562814015</v>
      </c>
      <c r="G39" s="9">
        <v>1.0760546125148545</v>
      </c>
      <c r="H39" s="9">
        <v>2.6362321433056359</v>
      </c>
      <c r="I39" s="9">
        <v>1.0760546125148545</v>
      </c>
      <c r="J39" s="9">
        <v>2.6362321433056359</v>
      </c>
      <c r="K39" s="9">
        <v>0.40817900473877211</v>
      </c>
    </row>
    <row r="40" spans="1:11">
      <c r="A40" s="52">
        <v>11</v>
      </c>
      <c r="B40" s="9">
        <v>11.532935557718137</v>
      </c>
      <c r="C40" s="9">
        <v>8.2124536204980814</v>
      </c>
      <c r="D40" s="52">
        <v>8.3333333333333329E-2</v>
      </c>
      <c r="E40" s="9">
        <v>0.91666666666666663</v>
      </c>
      <c r="F40" s="9">
        <v>170.4396163056017</v>
      </c>
      <c r="G40" s="9">
        <v>1.4043227628016328</v>
      </c>
      <c r="H40" s="9">
        <v>2.9747324803685631</v>
      </c>
      <c r="I40" s="9">
        <v>1.4043227628016328</v>
      </c>
      <c r="J40" s="9">
        <v>2.9747324803685631</v>
      </c>
      <c r="K40" s="9">
        <v>0.47208371578597891</v>
      </c>
    </row>
    <row r="41" spans="1:11">
      <c r="A41" s="52">
        <v>13</v>
      </c>
      <c r="B41" s="9">
        <v>15.316367332468284</v>
      </c>
      <c r="C41" s="9">
        <v>8.8163430527881843</v>
      </c>
      <c r="D41" s="52">
        <v>8.3333333333333329E-2</v>
      </c>
      <c r="E41" s="9">
        <v>0.91666666666666674</v>
      </c>
      <c r="F41" s="9">
        <v>170.4396163056017</v>
      </c>
      <c r="G41" s="9">
        <v>1.4043227628016328</v>
      </c>
      <c r="H41" s="9">
        <v>2.9747324803685631</v>
      </c>
      <c r="I41" s="9">
        <v>1.7372698907881603</v>
      </c>
      <c r="J41" s="9">
        <v>3.3084528268110232</v>
      </c>
      <c r="K41" s="9">
        <v>0.52510039638760497</v>
      </c>
    </row>
    <row r="42" spans="1:11">
      <c r="A42" s="52">
        <v>15</v>
      </c>
      <c r="B42" s="9">
        <v>19.152646323978018</v>
      </c>
      <c r="C42" s="9">
        <v>9.2724732941789245</v>
      </c>
      <c r="D42" s="52">
        <v>8.3333333333333329E-2</v>
      </c>
      <c r="E42" s="9">
        <v>0.75</v>
      </c>
      <c r="F42" s="9">
        <v>151.04497562814015</v>
      </c>
      <c r="G42" s="9">
        <v>1.0760546125148545</v>
      </c>
      <c r="H42" s="9">
        <v>2.6362321433056359</v>
      </c>
      <c r="I42" s="9">
        <v>2.0655380410749387</v>
      </c>
      <c r="J42" s="9">
        <v>3.6469531638739503</v>
      </c>
      <c r="K42" s="9">
        <v>0.56637361333174774</v>
      </c>
    </row>
    <row r="43" spans="1:11">
      <c r="A43" s="52">
        <v>17</v>
      </c>
      <c r="B43" s="9">
        <v>22.791188824181738</v>
      </c>
      <c r="C43" s="9">
        <v>9.5787599555376222</v>
      </c>
      <c r="D43" s="52">
        <v>8.3333333333333329E-2</v>
      </c>
      <c r="E43" s="9">
        <v>0.58333333333333326</v>
      </c>
      <c r="F43" s="9">
        <v>130.75136329567184</v>
      </c>
      <c r="G43" s="9">
        <v>0.76224616928773958</v>
      </c>
      <c r="H43" s="9">
        <v>2.2820417909807373</v>
      </c>
      <c r="I43" s="9">
        <v>2.3793464843020535</v>
      </c>
      <c r="J43" s="9">
        <v>4.0011435161988489</v>
      </c>
      <c r="K43" s="9">
        <v>0.59466661834776458</v>
      </c>
    </row>
    <row r="44" spans="1:11">
      <c r="A44" s="52">
        <v>19</v>
      </c>
      <c r="B44" s="9">
        <v>25.931008748946283</v>
      </c>
      <c r="C44" s="9">
        <v>9.7213622552864809</v>
      </c>
      <c r="D44" s="52">
        <v>8.3333333333333329E-2</v>
      </c>
      <c r="E44" s="9">
        <v>0.41666666666666674</v>
      </c>
      <c r="F44" s="9">
        <v>108.62933057469591</v>
      </c>
      <c r="G44" s="9">
        <v>0.4741672385102359</v>
      </c>
      <c r="H44" s="9">
        <v>1.8959394827657876</v>
      </c>
      <c r="I44" s="9">
        <v>2.6674254150795571</v>
      </c>
      <c r="J44" s="9">
        <v>4.3872458244137986</v>
      </c>
      <c r="K44" s="9">
        <v>0.60799543080902352</v>
      </c>
    </row>
    <row r="45" spans="1:11">
      <c r="A45" s="52">
        <v>21</v>
      </c>
      <c r="B45" s="9">
        <v>28.167514145874936</v>
      </c>
      <c r="C45" s="9">
        <v>9.6631646943369205</v>
      </c>
      <c r="D45" s="52">
        <v>8.3333333333333329E-2</v>
      </c>
      <c r="E45" s="9">
        <v>0.25</v>
      </c>
      <c r="F45" s="9">
        <v>82.819244218541712</v>
      </c>
      <c r="G45" s="9">
        <v>0.22665587698880485</v>
      </c>
      <c r="H45" s="9">
        <v>1.4454684956268311</v>
      </c>
      <c r="I45" s="9">
        <v>2.9149367766009884</v>
      </c>
      <c r="J45" s="9">
        <v>4.8377168115527551</v>
      </c>
      <c r="K45" s="9">
        <v>0.60254390452122919</v>
      </c>
    </row>
    <row r="46" spans="1:11">
      <c r="A46" s="52">
        <v>23</v>
      </c>
      <c r="B46" s="9">
        <v>28.739082472023622</v>
      </c>
      <c r="C46" s="9">
        <v>9.2802422915485288</v>
      </c>
      <c r="D46" s="52">
        <v>8.3333333333333329E-2</v>
      </c>
      <c r="E46" s="9">
        <v>8.3333333333333259E-2</v>
      </c>
      <c r="F46" s="9">
        <v>47.112928618202425</v>
      </c>
      <c r="G46" s="9">
        <v>4.4789620958181509E-2</v>
      </c>
      <c r="H46" s="9">
        <v>0.82227572464469478</v>
      </c>
      <c r="I46" s="9">
        <v>3.0968030326316116</v>
      </c>
      <c r="J46" s="9">
        <v>5.4609095825348914</v>
      </c>
      <c r="K46" s="9">
        <v>0.56708557170326035</v>
      </c>
    </row>
    <row r="47" spans="1:11">
      <c r="A47" s="52">
        <v>25</v>
      </c>
      <c r="B47" s="9" t="e">
        <v>#NUM!</v>
      </c>
      <c r="C47" s="9" t="e">
        <v>#NUM!</v>
      </c>
      <c r="D47" s="52">
        <v>8.3333333333333329E-2</v>
      </c>
      <c r="E47" s="9">
        <v>-8.3333333333333481E-2</v>
      </c>
      <c r="F47" s="9" t="e">
        <v>#NUM!</v>
      </c>
      <c r="G47" s="9" t="e">
        <v>#NUM!</v>
      </c>
      <c r="H47" s="9" t="e">
        <v>#NUM!</v>
      </c>
      <c r="I47" s="9" t="e">
        <v>#NUM!</v>
      </c>
      <c r="J47" s="9" t="e">
        <v>#NUM!</v>
      </c>
      <c r="K47" s="9" t="e">
        <v>#NUM!</v>
      </c>
    </row>
    <row r="48" spans="1:11">
      <c r="A48" s="52">
        <v>27</v>
      </c>
      <c r="B48" s="9" t="e">
        <v>#NUM!</v>
      </c>
      <c r="C48" s="9" t="e">
        <v>#NUM!</v>
      </c>
      <c r="D48" s="52">
        <v>8.3333333333333329E-2</v>
      </c>
      <c r="E48" s="9">
        <v>-0.25</v>
      </c>
      <c r="F48" s="9" t="e">
        <v>#NUM!</v>
      </c>
      <c r="G48" s="9" t="e">
        <v>#NUM!</v>
      </c>
      <c r="H48" s="9" t="e">
        <v>#NUM!</v>
      </c>
      <c r="I48" s="9" t="e">
        <v>#NUM!</v>
      </c>
      <c r="J48" s="9" t="e">
        <v>#NUM!</v>
      </c>
      <c r="K48" s="9" t="e">
        <v>#NUM!</v>
      </c>
    </row>
    <row r="49" spans="1:11">
      <c r="A49" s="52">
        <v>29</v>
      </c>
      <c r="B49" s="9" t="e">
        <v>#NUM!</v>
      </c>
      <c r="C49" s="9" t="e">
        <v>#NUM!</v>
      </c>
      <c r="D49" s="52">
        <v>8.3333333333333329E-2</v>
      </c>
      <c r="E49" s="9">
        <v>-0.41666666666666652</v>
      </c>
      <c r="F49" s="9" t="e">
        <v>#NUM!</v>
      </c>
      <c r="G49" s="9" t="e">
        <v>#NUM!</v>
      </c>
      <c r="H49" s="9" t="e">
        <v>#NUM!</v>
      </c>
      <c r="I49" s="9" t="e">
        <v>#NUM!</v>
      </c>
      <c r="J49" s="9" t="e">
        <v>#NUM!</v>
      </c>
      <c r="K49" s="9" t="e">
        <v>#NUM!</v>
      </c>
    </row>
    <row r="50" spans="1:11">
      <c r="A50" s="52">
        <v>31</v>
      </c>
      <c r="B50" s="9" t="e">
        <v>#NUM!</v>
      </c>
      <c r="C50" s="9" t="e">
        <v>#NUM!</v>
      </c>
      <c r="D50" s="52">
        <v>8.3333333333333329E-2</v>
      </c>
      <c r="E50" s="9">
        <v>-0.58333333333333348</v>
      </c>
      <c r="F50" s="9" t="e">
        <v>#NUM!</v>
      </c>
      <c r="G50" s="9" t="e">
        <v>#NUM!</v>
      </c>
      <c r="H50" s="9" t="e">
        <v>#NUM!</v>
      </c>
      <c r="I50" s="9" t="e">
        <v>#NUM!</v>
      </c>
      <c r="J50" s="9" t="e">
        <v>#NUM!</v>
      </c>
      <c r="K50" s="9" t="e">
        <v>#NUM!</v>
      </c>
    </row>
    <row r="51" spans="1:11">
      <c r="A51" s="52">
        <v>33</v>
      </c>
      <c r="B51" s="9" t="e">
        <v>#NUM!</v>
      </c>
      <c r="C51" s="9" t="e">
        <v>#NUM!</v>
      </c>
      <c r="D51" s="52">
        <v>8.3333333333333329E-2</v>
      </c>
      <c r="E51" s="9">
        <v>-0.75</v>
      </c>
      <c r="F51" s="9" t="e">
        <v>#NUM!</v>
      </c>
      <c r="G51" s="9" t="e">
        <v>#NUM!</v>
      </c>
      <c r="H51" s="9" t="e">
        <v>#NUM!</v>
      </c>
      <c r="I51" s="9" t="e">
        <v>#NUM!</v>
      </c>
      <c r="J51" s="9" t="e">
        <v>#NUM!</v>
      </c>
      <c r="K51" s="9" t="e">
        <v>#NUM!</v>
      </c>
    </row>
    <row r="52" spans="1:11">
      <c r="A52" s="52">
        <v>35</v>
      </c>
      <c r="B52" s="9" t="e">
        <v>#NUM!</v>
      </c>
      <c r="C52" s="9" t="e">
        <v>#NUM!</v>
      </c>
      <c r="D52" s="52">
        <v>8.3333333333333329E-2</v>
      </c>
      <c r="E52" s="9">
        <v>-0.91666666666666652</v>
      </c>
      <c r="F52" s="9" t="e">
        <v>#NUM!</v>
      </c>
      <c r="G52" s="9" t="e">
        <v>#NUM!</v>
      </c>
      <c r="H52" s="9" t="e">
        <v>#NUM!</v>
      </c>
      <c r="I52" s="9" t="e">
        <v>#NUM!</v>
      </c>
      <c r="J52" s="9" t="e">
        <v>#NUM!</v>
      </c>
      <c r="K52" s="9" t="e">
        <v>#NUM!</v>
      </c>
    </row>
    <row r="53" spans="1:11">
      <c r="A53" s="52">
        <v>37</v>
      </c>
      <c r="B53" s="9" t="e">
        <v>#NUM!</v>
      </c>
      <c r="C53" s="9" t="e">
        <v>#NUM!</v>
      </c>
      <c r="D53" s="52">
        <v>8.3333333333333329E-2</v>
      </c>
      <c r="E53" s="9">
        <v>-1.0833333333333335</v>
      </c>
      <c r="F53" s="9" t="e">
        <v>#NUM!</v>
      </c>
      <c r="G53" s="9" t="e">
        <v>#NUM!</v>
      </c>
      <c r="H53" s="9" t="e">
        <v>#NUM!</v>
      </c>
      <c r="I53" s="9" t="e">
        <v>#NUM!</v>
      </c>
      <c r="J53" s="9" t="e">
        <v>#NUM!</v>
      </c>
      <c r="K53" s="9" t="e">
        <v>#NUM!</v>
      </c>
    </row>
    <row r="54" spans="1:11">
      <c r="A54" s="52">
        <v>39</v>
      </c>
      <c r="B54" s="9" t="e">
        <v>#NUM!</v>
      </c>
      <c r="C54" s="9" t="e">
        <v>#NUM!</v>
      </c>
      <c r="D54" s="52">
        <v>8.3333333333333329E-2</v>
      </c>
      <c r="E54" s="9">
        <v>-1.25</v>
      </c>
      <c r="F54" s="9" t="e">
        <v>#NUM!</v>
      </c>
      <c r="G54" s="9" t="e">
        <v>#NUM!</v>
      </c>
      <c r="H54" s="9" t="e">
        <v>#NUM!</v>
      </c>
      <c r="I54" s="9" t="e">
        <v>#NUM!</v>
      </c>
      <c r="J54" s="9" t="e">
        <v>#NUM!</v>
      </c>
      <c r="K54" s="9" t="e">
        <v>#NUM!</v>
      </c>
    </row>
    <row r="55" spans="1:11">
      <c r="A55" s="52">
        <v>41</v>
      </c>
      <c r="B55" s="9" t="e">
        <v>#NUM!</v>
      </c>
      <c r="C55" s="9" t="e">
        <v>#NUM!</v>
      </c>
      <c r="D55" s="52">
        <v>8.3333333333333329E-2</v>
      </c>
      <c r="E55" s="9">
        <v>-1.4166666666666665</v>
      </c>
      <c r="F55" s="9" t="e">
        <v>#NUM!</v>
      </c>
      <c r="G55" s="9" t="e">
        <v>#NUM!</v>
      </c>
      <c r="H55" s="9" t="e">
        <v>#NUM!</v>
      </c>
      <c r="I55" s="9" t="e">
        <v>#NUM!</v>
      </c>
      <c r="J55" s="9" t="e">
        <v>#NUM!</v>
      </c>
      <c r="K55" s="9" t="e">
        <v>#NUM!</v>
      </c>
    </row>
    <row r="56" spans="1:11">
      <c r="A56" s="52">
        <v>43</v>
      </c>
      <c r="B56" s="9" t="e">
        <v>#NUM!</v>
      </c>
      <c r="C56" s="9" t="e">
        <v>#NUM!</v>
      </c>
      <c r="D56" s="52">
        <v>8.3333333333333329E-2</v>
      </c>
      <c r="E56" s="9">
        <v>-1.5833333333333335</v>
      </c>
      <c r="F56" s="9" t="e">
        <v>#NUM!</v>
      </c>
      <c r="G56" s="9" t="e">
        <v>#NUM!</v>
      </c>
      <c r="H56" s="9" t="e">
        <v>#NUM!</v>
      </c>
      <c r="I56" s="9" t="e">
        <v>#NUM!</v>
      </c>
      <c r="J56" s="9" t="e">
        <v>#NUM!</v>
      </c>
      <c r="K56" s="9" t="e">
        <v>#NUM!</v>
      </c>
    </row>
    <row r="57" spans="1:11">
      <c r="A57" s="52">
        <v>45</v>
      </c>
      <c r="B57" s="9" t="e">
        <v>#NUM!</v>
      </c>
      <c r="C57" s="9" t="e">
        <v>#NUM!</v>
      </c>
      <c r="D57" s="52">
        <v>8.3333333333333329E-2</v>
      </c>
      <c r="E57" s="9">
        <v>-1.75</v>
      </c>
      <c r="F57" s="9" t="e">
        <v>#NUM!</v>
      </c>
      <c r="G57" s="9" t="e">
        <v>#NUM!</v>
      </c>
      <c r="H57" s="9" t="e">
        <v>#NUM!</v>
      </c>
      <c r="I57" s="9" t="e">
        <v>#NUM!</v>
      </c>
      <c r="J57" s="9" t="e">
        <v>#NUM!</v>
      </c>
      <c r="K57" s="9" t="e">
        <v>#NUM!</v>
      </c>
    </row>
    <row r="58" spans="1:11">
      <c r="A58" s="52">
        <v>47</v>
      </c>
      <c r="B58" s="9" t="e">
        <v>#NUM!</v>
      </c>
      <c r="C58" s="9" t="e">
        <v>#NUM!</v>
      </c>
      <c r="D58" s="52">
        <v>8.3333333333333329E-2</v>
      </c>
      <c r="E58" s="9">
        <v>-1.9166666666666665</v>
      </c>
      <c r="F58" s="9" t="e">
        <v>#NUM!</v>
      </c>
      <c r="G58" s="9" t="e">
        <v>#NUM!</v>
      </c>
      <c r="H58" s="9" t="e">
        <v>#NUM!</v>
      </c>
      <c r="I58" s="9" t="e">
        <v>#NUM!</v>
      </c>
      <c r="J58" s="9" t="e">
        <v>#NUM!</v>
      </c>
      <c r="K58" s="9" t="e">
        <v>#NUM!</v>
      </c>
    </row>
    <row r="59" spans="1:11">
      <c r="A59" s="52">
        <v>49</v>
      </c>
      <c r="B59" s="9" t="e">
        <v>#NUM!</v>
      </c>
      <c r="C59" s="9" t="e">
        <v>#NUM!</v>
      </c>
      <c r="D59" s="52">
        <v>8.3333333333333329E-2</v>
      </c>
      <c r="E59" s="9">
        <v>-2.083333333333333</v>
      </c>
      <c r="F59" s="9" t="e">
        <v>#NUM!</v>
      </c>
      <c r="G59" s="9" t="e">
        <v>#NUM!</v>
      </c>
      <c r="H59" s="9" t="e">
        <v>#NUM!</v>
      </c>
      <c r="I59" s="9" t="e">
        <v>#NUM!</v>
      </c>
      <c r="J59" s="9" t="e">
        <v>#NUM!</v>
      </c>
      <c r="K59" s="9" t="e">
        <v>#NUM!</v>
      </c>
    </row>
    <row r="60" spans="1:11">
      <c r="A60" s="52">
        <v>51</v>
      </c>
      <c r="B60" s="9" t="e">
        <v>#NUM!</v>
      </c>
      <c r="C60" s="9" t="e">
        <v>#NUM!</v>
      </c>
      <c r="D60" s="52">
        <v>8.3333333333333329E-2</v>
      </c>
      <c r="E60" s="9">
        <v>-2.25</v>
      </c>
      <c r="F60" s="9" t="e">
        <v>#NUM!</v>
      </c>
      <c r="G60" s="9" t="e">
        <v>#NUM!</v>
      </c>
      <c r="H60" s="9" t="e">
        <v>#NUM!</v>
      </c>
      <c r="I60" s="9" t="e">
        <v>#NUM!</v>
      </c>
      <c r="J60" s="9" t="e">
        <v>#NUM!</v>
      </c>
      <c r="K60" s="9" t="e">
        <v>#NUM!</v>
      </c>
    </row>
    <row r="61" spans="1:11">
      <c r="A61" s="52">
        <v>53</v>
      </c>
      <c r="B61" s="9" t="e">
        <v>#NUM!</v>
      </c>
      <c r="C61" s="9" t="e">
        <v>#NUM!</v>
      </c>
      <c r="D61" s="52">
        <v>8.3333333333333329E-2</v>
      </c>
      <c r="E61" s="9">
        <v>-2.416666666666667</v>
      </c>
      <c r="F61" s="9" t="e">
        <v>#NUM!</v>
      </c>
      <c r="G61" s="9" t="e">
        <v>#NUM!</v>
      </c>
      <c r="H61" s="9" t="e">
        <v>#NUM!</v>
      </c>
      <c r="I61" s="9" t="e">
        <v>#NUM!</v>
      </c>
      <c r="J61" s="9" t="e">
        <v>#NUM!</v>
      </c>
      <c r="K61" s="9" t="e">
        <v>#NUM!</v>
      </c>
    </row>
    <row r="62" spans="1:11">
      <c r="A62" s="52">
        <v>55</v>
      </c>
      <c r="B62" s="9" t="e">
        <v>#NUM!</v>
      </c>
      <c r="C62" s="9" t="e">
        <v>#NUM!</v>
      </c>
      <c r="D62" s="52">
        <v>8.3333333333333329E-2</v>
      </c>
      <c r="E62" s="9">
        <v>-2.583333333333333</v>
      </c>
      <c r="F62" s="9" t="e">
        <v>#NUM!</v>
      </c>
      <c r="G62" s="9" t="e">
        <v>#NUM!</v>
      </c>
      <c r="H62" s="9" t="e">
        <v>#NUM!</v>
      </c>
      <c r="I62" s="9" t="e">
        <v>#NUM!</v>
      </c>
      <c r="J62" s="9" t="e">
        <v>#NUM!</v>
      </c>
      <c r="K62" s="9" t="e">
        <v>#NUM!</v>
      </c>
    </row>
    <row r="63" spans="1:11">
      <c r="A63" s="52">
        <v>57</v>
      </c>
      <c r="B63" s="9" t="e">
        <v>#NUM!</v>
      </c>
      <c r="C63" s="9" t="e">
        <v>#NUM!</v>
      </c>
      <c r="D63" s="52">
        <v>8.3333333333333329E-2</v>
      </c>
      <c r="E63" s="9">
        <v>-2.75</v>
      </c>
      <c r="F63" s="9" t="e">
        <v>#NUM!</v>
      </c>
      <c r="G63" s="9" t="e">
        <v>#NUM!</v>
      </c>
      <c r="H63" s="9" t="e">
        <v>#NUM!</v>
      </c>
      <c r="I63" s="9" t="e">
        <v>#NUM!</v>
      </c>
      <c r="J63" s="9" t="e">
        <v>#NUM!</v>
      </c>
      <c r="K63" s="9" t="e">
        <v>#NUM!</v>
      </c>
    </row>
    <row r="64" spans="1:11">
      <c r="A64" s="52">
        <v>59</v>
      </c>
      <c r="B64" s="9" t="e">
        <v>#NUM!</v>
      </c>
      <c r="C64" s="9" t="e">
        <v>#NUM!</v>
      </c>
      <c r="D64" s="52">
        <v>8.3333333333333329E-2</v>
      </c>
      <c r="E64" s="9">
        <v>-2.916666666666667</v>
      </c>
      <c r="F64" s="9" t="e">
        <v>#NUM!</v>
      </c>
      <c r="G64" s="9" t="e">
        <v>#NUM!</v>
      </c>
      <c r="H64" s="9" t="e">
        <v>#NUM!</v>
      </c>
      <c r="I64" s="9" t="e">
        <v>#NUM!</v>
      </c>
      <c r="J64" s="9" t="e">
        <v>#NUM!</v>
      </c>
      <c r="K64" s="9" t="e">
        <v>#NUM!</v>
      </c>
    </row>
    <row r="65" spans="1:11">
      <c r="A65" s="52">
        <v>61</v>
      </c>
      <c r="B65" s="9" t="e">
        <v>#NUM!</v>
      </c>
      <c r="C65" s="9" t="e">
        <v>#NUM!</v>
      </c>
      <c r="D65" s="52">
        <v>8.3333333333333329E-2</v>
      </c>
      <c r="E65" s="9">
        <v>-3.083333333333333</v>
      </c>
      <c r="F65" s="9" t="e">
        <v>#NUM!</v>
      </c>
      <c r="G65" s="9" t="e">
        <v>#NUM!</v>
      </c>
      <c r="H65" s="9" t="e">
        <v>#NUM!</v>
      </c>
      <c r="I65" s="9" t="e">
        <v>#NUM!</v>
      </c>
      <c r="J65" s="9" t="e">
        <v>#NUM!</v>
      </c>
      <c r="K65" s="9" t="e">
        <v>#NUM!</v>
      </c>
    </row>
    <row r="66" spans="1:11">
      <c r="A66" s="52">
        <v>63</v>
      </c>
      <c r="B66" s="9" t="e">
        <v>#NUM!</v>
      </c>
      <c r="C66" s="9" t="e">
        <v>#NUM!</v>
      </c>
      <c r="D66" s="52">
        <v>8.3333333333333329E-2</v>
      </c>
      <c r="E66" s="9">
        <v>-3.25</v>
      </c>
      <c r="F66" s="9" t="e">
        <v>#NUM!</v>
      </c>
      <c r="G66" s="9" t="e">
        <v>#NUM!</v>
      </c>
      <c r="H66" s="9" t="e">
        <v>#NUM!</v>
      </c>
      <c r="I66" s="9" t="e">
        <v>#NUM!</v>
      </c>
      <c r="J66" s="9" t="e">
        <v>#NUM!</v>
      </c>
      <c r="K66" s="9" t="e">
        <v>#NUM!</v>
      </c>
    </row>
    <row r="67" spans="1:11">
      <c r="A67" s="52">
        <v>65</v>
      </c>
      <c r="B67" s="9" t="e">
        <v>#NUM!</v>
      </c>
      <c r="C67" s="9" t="e">
        <v>#NUM!</v>
      </c>
      <c r="D67" s="52">
        <v>8.3333333333333329E-2</v>
      </c>
      <c r="E67" s="9">
        <v>-3.416666666666667</v>
      </c>
      <c r="F67" s="9" t="e">
        <v>#NUM!</v>
      </c>
      <c r="G67" s="9" t="e">
        <v>#NUM!</v>
      </c>
      <c r="H67" s="9" t="e">
        <v>#NUM!</v>
      </c>
      <c r="I67" s="9" t="e">
        <v>#NUM!</v>
      </c>
      <c r="J67" s="9" t="e">
        <v>#NUM!</v>
      </c>
      <c r="K67" s="9" t="e">
        <v>#NUM!</v>
      </c>
    </row>
    <row r="68" spans="1:11">
      <c r="A68" s="52">
        <v>67</v>
      </c>
      <c r="B68" s="9" t="e">
        <v>#NUM!</v>
      </c>
      <c r="C68" s="9" t="e">
        <v>#NUM!</v>
      </c>
      <c r="D68" s="52">
        <v>8.3333333333333329E-2</v>
      </c>
      <c r="E68" s="9">
        <v>-3.583333333333333</v>
      </c>
      <c r="F68" s="9" t="e">
        <v>#NUM!</v>
      </c>
      <c r="G68" s="9" t="e">
        <v>#NUM!</v>
      </c>
      <c r="H68" s="9" t="e">
        <v>#NUM!</v>
      </c>
      <c r="I68" s="9" t="e">
        <v>#NUM!</v>
      </c>
      <c r="J68" s="9" t="e">
        <v>#NUM!</v>
      </c>
      <c r="K68" s="9" t="e">
        <v>#NUM!</v>
      </c>
    </row>
    <row r="69" spans="1:11">
      <c r="A69" s="52">
        <v>69</v>
      </c>
      <c r="B69" s="9" t="e">
        <v>#NUM!</v>
      </c>
      <c r="C69" s="9" t="e">
        <v>#NUM!</v>
      </c>
      <c r="D69" s="52">
        <v>8.3333333333333329E-2</v>
      </c>
      <c r="E69" s="9">
        <v>-3.75</v>
      </c>
      <c r="F69" s="9" t="e">
        <v>#NUM!</v>
      </c>
      <c r="G69" s="9" t="e">
        <v>#NUM!</v>
      </c>
      <c r="H69" s="9" t="e">
        <v>#NUM!</v>
      </c>
      <c r="I69" s="9" t="e">
        <v>#NUM!</v>
      </c>
      <c r="J69" s="9" t="e">
        <v>#NUM!</v>
      </c>
      <c r="K69" s="9" t="e">
        <v>#NUM!</v>
      </c>
    </row>
    <row r="70" spans="1:11">
      <c r="A70" s="52">
        <v>71</v>
      </c>
      <c r="B70" s="9" t="e">
        <v>#NUM!</v>
      </c>
      <c r="C70" s="9" t="e">
        <v>#NUM!</v>
      </c>
      <c r="D70" s="52">
        <v>8.3333333333333329E-2</v>
      </c>
      <c r="E70" s="9">
        <v>-3.916666666666667</v>
      </c>
      <c r="F70" s="9" t="e">
        <v>#NUM!</v>
      </c>
      <c r="G70" s="9" t="e">
        <v>#NUM!</v>
      </c>
      <c r="H70" s="9" t="e">
        <v>#NUM!</v>
      </c>
      <c r="I70" s="9" t="e">
        <v>#NUM!</v>
      </c>
      <c r="J70" s="9" t="e">
        <v>#NUM!</v>
      </c>
      <c r="K70" s="9" t="e">
        <v>#NUM!</v>
      </c>
    </row>
  </sheetData>
  <customSheetViews>
    <customSheetView guid="{C8C28A16-3CAD-4F54-A986-B4BB76010774}" showPageBreaks="1" topLeftCell="A4">
      <selection activeCell="C17" sqref="C17"/>
      <pageMargins left="0.7" right="0.7" top="0.75" bottom="0.75" header="0.3" footer="0.3"/>
      <pageSetup orientation="portrait" r:id="rId1"/>
    </customSheetView>
    <customSheetView guid="{69D25061-22BB-4069-9A58-30FF41B45BB4}" showPageBreaks="1" state="hidden" topLeftCell="A4">
      <selection activeCell="C17" sqref="C17"/>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734A-37E6-480C-8C83-A31DD0BD096D}">
  <sheetPr codeName="Sheet5"/>
  <dimension ref="A1:C15"/>
  <sheetViews>
    <sheetView zoomScaleNormal="100" workbookViewId="0">
      <selection activeCell="C17" sqref="C17"/>
    </sheetView>
  </sheetViews>
  <sheetFormatPr defaultRowHeight="15"/>
  <cols>
    <col min="1" max="1" width="16.85546875" bestFit="1" customWidth="1"/>
    <col min="2" max="2" width="12.5703125" bestFit="1" customWidth="1"/>
  </cols>
  <sheetData>
    <row r="1" spans="1:3">
      <c r="A1" t="s">
        <v>80</v>
      </c>
      <c r="B1">
        <f>'Flap Gate - Inputs and Outputs'!P5</f>
        <v>32.200000000000003</v>
      </c>
      <c r="C1" t="s">
        <v>81</v>
      </c>
    </row>
    <row r="2" spans="1:3">
      <c r="A2" t="s">
        <v>75</v>
      </c>
      <c r="B2">
        <f>'Flap Gate - Inputs and Outputs'!P4</f>
        <v>62.4</v>
      </c>
      <c r="C2" t="s">
        <v>76</v>
      </c>
    </row>
    <row r="3" spans="1:3">
      <c r="A3" t="s">
        <v>70</v>
      </c>
      <c r="B3" s="20">
        <f>'Flap Gate - Inputs and Outputs'!D18</f>
        <v>5</v>
      </c>
      <c r="C3" t="s">
        <v>9</v>
      </c>
    </row>
    <row r="4" spans="1:3">
      <c r="A4" t="s">
        <v>71</v>
      </c>
      <c r="B4">
        <f>'Flap Gate - Inputs and Outputs'!D16</f>
        <v>250</v>
      </c>
      <c r="C4" t="s">
        <v>7</v>
      </c>
    </row>
    <row r="5" spans="1:3">
      <c r="A5" t="s">
        <v>8</v>
      </c>
      <c r="B5">
        <f>'Flap Gate - Inputs and Outputs'!D17</f>
        <v>2500</v>
      </c>
      <c r="C5" t="s">
        <v>7</v>
      </c>
    </row>
    <row r="7" spans="1:3">
      <c r="A7" t="s">
        <v>72</v>
      </c>
      <c r="B7" s="9">
        <f>'Flap Gate - Inputs and Outputs'!D7/12</f>
        <v>4</v>
      </c>
      <c r="C7" t="s">
        <v>5</v>
      </c>
    </row>
    <row r="8" spans="1:3">
      <c r="A8" t="s">
        <v>92</v>
      </c>
      <c r="B8" s="9">
        <f>B7/3</f>
        <v>1.3333333333333333</v>
      </c>
    </row>
    <row r="9" spans="1:3">
      <c r="A9" t="s">
        <v>73</v>
      </c>
      <c r="B9" s="9">
        <f>'Segment Flow'!C21</f>
        <v>3.1415926535897931</v>
      </c>
      <c r="C9" t="s">
        <v>32</v>
      </c>
    </row>
    <row r="11" spans="1:3">
      <c r="A11" t="s">
        <v>74</v>
      </c>
      <c r="B11" s="9">
        <f>B2*B1*B8*B9</f>
        <v>8416.4523826731984</v>
      </c>
      <c r="C11" t="s">
        <v>82</v>
      </c>
    </row>
    <row r="13" spans="1:3">
      <c r="A13" t="s">
        <v>83</v>
      </c>
      <c r="B13" s="9">
        <f>(B4+B5)*SIN(B3*PI()/180)*B1</f>
        <v>7717.641020305131</v>
      </c>
      <c r="C13" t="s">
        <v>82</v>
      </c>
    </row>
    <row r="15" spans="1:3">
      <c r="B15" s="11"/>
    </row>
  </sheetData>
  <customSheetViews>
    <customSheetView guid="{C8C28A16-3CAD-4F54-A986-B4BB76010774}" showPageBreaks="1">
      <selection activeCell="C17" sqref="C17"/>
      <pageMargins left="0.7" right="0.7" top="0.75" bottom="0.75" header="0.3" footer="0.3"/>
    </customSheetView>
    <customSheetView guid="{69D25061-22BB-4069-9A58-30FF41B45BB4}" showPageBreaks="1" state="hidden">
      <selection activeCell="C17" sqref="C17"/>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27979-EDC1-45CB-8058-7C34178A11A7}">
  <sheetPr codeName="Sheet6"/>
  <dimension ref="A3:E18"/>
  <sheetViews>
    <sheetView zoomScaleNormal="100" workbookViewId="0">
      <selection activeCell="C17" sqref="C17"/>
    </sheetView>
  </sheetViews>
  <sheetFormatPr defaultRowHeight="15"/>
  <cols>
    <col min="1" max="1" width="23.140625" bestFit="1" customWidth="1"/>
    <col min="2" max="2" width="11.5703125" bestFit="1" customWidth="1"/>
    <col min="3" max="3" width="13.5703125" bestFit="1" customWidth="1"/>
  </cols>
  <sheetData>
    <row r="3" spans="1:4">
      <c r="A3" t="s">
        <v>98</v>
      </c>
      <c r="B3" t="s">
        <v>80</v>
      </c>
      <c r="C3">
        <f>'Flap Gate - Inputs and Outputs'!P5</f>
        <v>32.200000000000003</v>
      </c>
      <c r="D3" t="s">
        <v>81</v>
      </c>
    </row>
    <row r="4" spans="1:4">
      <c r="A4" t="s">
        <v>75</v>
      </c>
      <c r="B4" s="18" t="s">
        <v>24</v>
      </c>
      <c r="C4">
        <f>'Flap Gate - Inputs and Outputs'!P4</f>
        <v>62.4</v>
      </c>
      <c r="D4" t="s">
        <v>76</v>
      </c>
    </row>
    <row r="5" spans="1:4">
      <c r="A5" t="s">
        <v>73</v>
      </c>
      <c r="C5" s="26">
        <f>'Segment Flow'!C21</f>
        <v>3.1415926535897931</v>
      </c>
      <c r="D5" t="s">
        <v>32</v>
      </c>
    </row>
    <row r="6" spans="1:4">
      <c r="A6" t="s">
        <v>71</v>
      </c>
      <c r="C6" s="20">
        <f>'Flap Gate - Inputs and Outputs'!D16+'Flap Gate - Inputs and Outputs'!D17</f>
        <v>2750</v>
      </c>
      <c r="D6" t="s">
        <v>7</v>
      </c>
    </row>
    <row r="7" spans="1:4">
      <c r="A7" t="s">
        <v>106</v>
      </c>
      <c r="C7" s="20">
        <f>'Flap Gate - Inputs and Outputs'!D4/12</f>
        <v>2</v>
      </c>
      <c r="D7" t="s">
        <v>5</v>
      </c>
    </row>
    <row r="9" spans="1:4">
      <c r="A9" s="13" t="s">
        <v>94</v>
      </c>
      <c r="B9" s="15">
        <f>'Flap Gate - Inputs and Outputs'!D36-'Flap Gate - Inputs and Outputs'!D37</f>
        <v>698.81136236806742</v>
      </c>
      <c r="C9" s="13" t="str">
        <f>'Flap Gate - Inputs and Outputs'!D38</f>
        <v>Open</v>
      </c>
      <c r="D9" s="13"/>
    </row>
    <row r="10" spans="1:4">
      <c r="A10" s="13" t="s">
        <v>22</v>
      </c>
      <c r="B10" s="14">
        <f>'Flap Gate - Inputs and Outputs'!F7</f>
        <v>4</v>
      </c>
      <c r="C10" s="13" t="s">
        <v>37</v>
      </c>
      <c r="D10" s="13"/>
    </row>
    <row r="11" spans="1:4">
      <c r="A11" s="13" t="s">
        <v>95</v>
      </c>
      <c r="B11" s="21">
        <f>'Flap Gate - Inputs and Outputs'!D15</f>
        <v>3</v>
      </c>
      <c r="C11" s="13" t="s">
        <v>37</v>
      </c>
      <c r="D11" s="13"/>
    </row>
    <row r="13" spans="1:4">
      <c r="A13" t="s">
        <v>102</v>
      </c>
      <c r="C13" s="9" t="e">
        <f>IF(B9&gt;0,'Segment Flow'!C32,0)</f>
        <v>#NUM!</v>
      </c>
      <c r="D13" t="s">
        <v>59</v>
      </c>
    </row>
    <row r="14" spans="1:4">
      <c r="A14" s="22" t="s">
        <v>104</v>
      </c>
      <c r="C14" s="11" t="e">
        <f>C4*C5*C13^2*B10/3</f>
        <v>#NUM!</v>
      </c>
    </row>
    <row r="15" spans="1:4">
      <c r="A15" s="22" t="s">
        <v>105</v>
      </c>
      <c r="C15" s="9">
        <f>C6*C3*(C7/2)</f>
        <v>88550.000000000015</v>
      </c>
      <c r="D15" s="19"/>
    </row>
    <row r="16" spans="1:4">
      <c r="A16" s="22" t="s">
        <v>103</v>
      </c>
      <c r="C16" s="11" t="str">
        <f>IFERROR(C14/C15,"Closed")</f>
        <v>Closed</v>
      </c>
    </row>
    <row r="17" spans="1:5">
      <c r="A17" s="18" t="s">
        <v>67</v>
      </c>
      <c r="C17" s="11" t="str">
        <f>IF(C16&gt;1,"Fully Open",ASIN(C16))</f>
        <v>Fully Open</v>
      </c>
      <c r="E17" t="s">
        <v>29</v>
      </c>
    </row>
    <row r="18" spans="1:5">
      <c r="C18" s="11" t="str">
        <f>IF(C16&gt;1,"Fully Open",C17*180/PI())</f>
        <v>Fully Open</v>
      </c>
      <c r="E18" t="s">
        <v>9</v>
      </c>
    </row>
  </sheetData>
  <customSheetViews>
    <customSheetView guid="{C8C28A16-3CAD-4F54-A986-B4BB76010774}" showPageBreaks="1">
      <selection activeCell="C17" sqref="C17"/>
      <pageMargins left="0.7" right="0.7" top="0.75" bottom="0.75" header="0.3" footer="0.3"/>
      <pageSetup orientation="portrait" r:id="rId1"/>
    </customSheetView>
    <customSheetView guid="{69D25061-22BB-4069-9A58-30FF41B45BB4}" showPageBreaks="1" state="hidden">
      <selection activeCell="C17" sqref="C17"/>
      <pageMargins left="0.7" right="0.7" top="0.75" bottom="0.75" header="0.3" footer="0.3"/>
      <pageSetup orientation="portrait" r:id="rId2"/>
    </customSheetView>
  </customSheetView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0DA8C-6BC5-4619-880C-3B30ADAA880E}">
  <sheetPr codeName="Sheet7"/>
  <dimension ref="A3:H24"/>
  <sheetViews>
    <sheetView zoomScaleNormal="100" workbookViewId="0">
      <selection activeCell="C17" sqref="C17"/>
    </sheetView>
  </sheetViews>
  <sheetFormatPr defaultRowHeight="15"/>
  <cols>
    <col min="1" max="1" width="23.140625" bestFit="1" customWidth="1"/>
    <col min="2" max="2" width="11.5703125" bestFit="1" customWidth="1"/>
    <col min="3" max="3" width="16.140625" bestFit="1" customWidth="1"/>
    <col min="5" max="5" width="16.42578125" bestFit="1" customWidth="1"/>
    <col min="7" max="7" width="11.140625" bestFit="1" customWidth="1"/>
  </cols>
  <sheetData>
    <row r="3" spans="1:8">
      <c r="A3" t="s">
        <v>98</v>
      </c>
      <c r="B3" t="s">
        <v>80</v>
      </c>
      <c r="C3">
        <f>'Flap Gate - Inputs and Outputs'!P5</f>
        <v>32.200000000000003</v>
      </c>
      <c r="D3" t="s">
        <v>81</v>
      </c>
    </row>
    <row r="4" spans="1:8">
      <c r="A4" t="s">
        <v>75</v>
      </c>
      <c r="B4" s="18" t="s">
        <v>24</v>
      </c>
      <c r="C4">
        <f>'Flap Gate - Inputs and Outputs'!P4</f>
        <v>62.4</v>
      </c>
      <c r="D4" t="s">
        <v>76</v>
      </c>
    </row>
    <row r="5" spans="1:8">
      <c r="A5" t="s">
        <v>73</v>
      </c>
      <c r="C5" s="26">
        <f>PI()*C7^2/4</f>
        <v>1.227184630308513</v>
      </c>
      <c r="D5" t="s">
        <v>32</v>
      </c>
    </row>
    <row r="6" spans="1:8">
      <c r="A6" t="s">
        <v>71</v>
      </c>
      <c r="C6" s="20">
        <v>80</v>
      </c>
      <c r="D6" t="s">
        <v>7</v>
      </c>
    </row>
    <row r="7" spans="1:8">
      <c r="A7" t="s">
        <v>106</v>
      </c>
      <c r="C7" s="20">
        <v>1.25</v>
      </c>
      <c r="D7" t="s">
        <v>5</v>
      </c>
    </row>
    <row r="10" spans="1:8">
      <c r="A10" t="s">
        <v>102</v>
      </c>
      <c r="C10" s="9">
        <v>6</v>
      </c>
      <c r="D10" t="s">
        <v>59</v>
      </c>
      <c r="F10" t="s">
        <v>53</v>
      </c>
      <c r="G10" s="11">
        <f>C10*C5</f>
        <v>7.3631077818510775</v>
      </c>
      <c r="H10" t="s">
        <v>55</v>
      </c>
    </row>
    <row r="11" spans="1:8">
      <c r="A11" s="22" t="s">
        <v>104</v>
      </c>
      <c r="C11" s="11">
        <f>C4*C5*C10^2*C7/3</f>
        <v>1148.6448139687679</v>
      </c>
      <c r="G11" s="11">
        <f>G10*7.48*60</f>
        <v>3304.5627724947635</v>
      </c>
      <c r="H11" t="s">
        <v>56</v>
      </c>
    </row>
    <row r="12" spans="1:8">
      <c r="A12" s="22" t="s">
        <v>105</v>
      </c>
      <c r="C12" s="9">
        <f>C6*C3*(C7/2)</f>
        <v>1610</v>
      </c>
      <c r="D12" s="19"/>
    </row>
    <row r="13" spans="1:8">
      <c r="A13" s="22" t="s">
        <v>103</v>
      </c>
      <c r="C13" s="11">
        <f>IFERROR(C11/C12,"Closed")</f>
        <v>0.71344398383153285</v>
      </c>
    </row>
    <row r="14" spans="1:8">
      <c r="A14" s="18" t="s">
        <v>67</v>
      </c>
      <c r="C14" s="11">
        <f>IF(C13&gt;1,"Fully Open",ASIN(C13))</f>
        <v>0.79440096790944392</v>
      </c>
      <c r="E14" t="s">
        <v>29</v>
      </c>
    </row>
    <row r="15" spans="1:8">
      <c r="C15" s="11">
        <f>IF(C13&gt;1,"Fully Open",C14*180/PI())</f>
        <v>45.515822702318687</v>
      </c>
      <c r="E15" t="s">
        <v>9</v>
      </c>
    </row>
    <row r="18" spans="1:6">
      <c r="A18" t="s">
        <v>113</v>
      </c>
      <c r="C18">
        <v>0.6</v>
      </c>
    </row>
    <row r="19" spans="1:6">
      <c r="A19" t="s">
        <v>33</v>
      </c>
      <c r="C19" s="26">
        <f>C5</f>
        <v>1.227184630308513</v>
      </c>
      <c r="D19" t="s">
        <v>32</v>
      </c>
    </row>
    <row r="20" spans="1:6">
      <c r="A20" t="s">
        <v>114</v>
      </c>
      <c r="C20">
        <v>6</v>
      </c>
      <c r="D20" t="s">
        <v>37</v>
      </c>
    </row>
    <row r="21" spans="1:6">
      <c r="A21" t="s">
        <v>114</v>
      </c>
      <c r="C21" s="20">
        <f>C7/2+(C20-C7)</f>
        <v>5.375</v>
      </c>
    </row>
    <row r="22" spans="1:6">
      <c r="A22" t="s">
        <v>115</v>
      </c>
      <c r="C22">
        <v>297</v>
      </c>
      <c r="D22" t="s">
        <v>55</v>
      </c>
      <c r="E22" s="13" t="s">
        <v>101</v>
      </c>
    </row>
    <row r="23" spans="1:6">
      <c r="C23">
        <f>C22*7.48*60</f>
        <v>133293.6</v>
      </c>
      <c r="D23" t="s">
        <v>56</v>
      </c>
    </row>
    <row r="24" spans="1:6">
      <c r="A24" t="s">
        <v>116</v>
      </c>
      <c r="C24">
        <f>C22/C5</f>
        <v>242.01737266325972</v>
      </c>
      <c r="D24" t="s">
        <v>59</v>
      </c>
      <c r="E24">
        <f>C24*60/5280*60</f>
        <v>165.01184499767709</v>
      </c>
      <c r="F24" t="s">
        <v>117</v>
      </c>
    </row>
  </sheetData>
  <customSheetViews>
    <customSheetView guid="{C8C28A16-3CAD-4F54-A986-B4BB76010774}" showPageBreaks="1">
      <selection activeCell="C17" sqref="C17"/>
      <pageMargins left="0.7" right="0.7" top="0.75" bottom="0.75" header="0.3" footer="0.3"/>
      <pageSetup orientation="portrait" r:id="rId1"/>
    </customSheetView>
    <customSheetView guid="{69D25061-22BB-4069-9A58-30FF41B45BB4}" showPageBreaks="1" state="hidden">
      <selection activeCell="C17" sqref="C17"/>
      <pageMargins left="0.7" right="0.7" top="0.75" bottom="0.75" header="0.3" footer="0.3"/>
      <pageSetup orientation="portrait" r:id="rId2"/>
    </customSheetView>
  </customSheetView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35</vt:i4>
      </vt:variant>
      <vt:variant>
        <vt:lpstr>Charts</vt:lpstr>
      </vt:variant>
      <vt:variant>
        <vt:i4>2</vt:i4>
      </vt:variant>
      <vt:variant>
        <vt:lpstr>Named Ranges</vt:lpstr>
      </vt:variant>
      <vt:variant>
        <vt:i4>2</vt:i4>
      </vt:variant>
    </vt:vector>
  </HeadingPairs>
  <TitlesOfParts>
    <vt:vector size="39" baseType="lpstr">
      <vt:lpstr>Cover Sheet</vt:lpstr>
      <vt:lpstr>Flap Gate - Inputs and Outputs</vt:lpstr>
      <vt:lpstr>Riser Inputs and Outputs</vt:lpstr>
      <vt:lpstr>SEPARATOR - Calcs</vt:lpstr>
      <vt:lpstr>Segment Flow</vt:lpstr>
      <vt:lpstr>Mannnings</vt:lpstr>
      <vt:lpstr>Static Force</vt:lpstr>
      <vt:lpstr>Angle of Opening</vt:lpstr>
      <vt:lpstr>Full Pipe Flow</vt:lpstr>
      <vt:lpstr>Angle to Area</vt:lpstr>
      <vt:lpstr>SEPARATOR</vt:lpstr>
      <vt:lpstr>Data Table Input</vt:lpstr>
      <vt:lpstr>Data Table Segment Flow (2)</vt:lpstr>
      <vt:lpstr>Data Table Mannings (2)</vt:lpstr>
      <vt:lpstr>Data Table Static Force (2)</vt:lpstr>
      <vt:lpstr>Data Table Angle of Opening (2)</vt:lpstr>
      <vt:lpstr>Data Table Full Pipe Flow (2)</vt:lpstr>
      <vt:lpstr>Data Table Angle to Area (2)</vt:lpstr>
      <vt:lpstr>SEPARATOR - BOX</vt:lpstr>
      <vt:lpstr>Box - Lower Orifice</vt:lpstr>
      <vt:lpstr>Box - Upper Orifice</vt:lpstr>
      <vt:lpstr>Box - Mannnings</vt:lpstr>
      <vt:lpstr>Box - Static Force</vt:lpstr>
      <vt:lpstr>Box - Angle of Opening</vt:lpstr>
      <vt:lpstr>Box - Full Pipe Flow</vt:lpstr>
      <vt:lpstr>Box - Angle to Area</vt:lpstr>
      <vt:lpstr>SEPARATOR-Data Table</vt:lpstr>
      <vt:lpstr>Data Tab Box - Input and Output</vt:lpstr>
      <vt:lpstr>Data TabBox - Lower Orifice</vt:lpstr>
      <vt:lpstr>Date TabBox - Upper Orifice</vt:lpstr>
      <vt:lpstr>Data Table Box - Mannnings</vt:lpstr>
      <vt:lpstr>Data Table Box - Static Force</vt:lpstr>
      <vt:lpstr>Data TablBox - Angle of Opening</vt:lpstr>
      <vt:lpstr>Data TableBox - Full Pipe Flow)</vt:lpstr>
      <vt:lpstr>Data Table Box - Angle to Area</vt:lpstr>
      <vt:lpstr>Flap Gate Chart 1</vt:lpstr>
      <vt:lpstr>Flap Gate Chart 2</vt:lpstr>
      <vt:lpstr>'Cover Sheet'!_Toc47894747</vt:lpstr>
      <vt:lpstr>'Cover Sheet'!_Toc47894748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Rajib Sinha</dc:creator>
  <cp:lastModifiedBy>Lehmann, Adam</cp:lastModifiedBy>
  <cp:lastPrinted>2020-08-30T19:03:24Z</cp:lastPrinted>
  <dcterms:created xsi:type="dcterms:W3CDTF">2020-03-03T17:18:41Z</dcterms:created>
  <dcterms:modified xsi:type="dcterms:W3CDTF">2020-11-25T20:32:49Z</dcterms:modified>
</cp:coreProperties>
</file>